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irkenettet-my.sharepoint.com/personal/kob_km_dk/Documents/Skrivebord/"/>
    </mc:Choice>
  </mc:AlternateContent>
  <xr:revisionPtr revIDLastSave="0" documentId="8_{F0FB464D-ACAA-4489-A2FF-E22901AD753C}" xr6:coauthVersionLast="47" xr6:coauthVersionMax="47" xr10:uidLastSave="{00000000-0000-0000-0000-000000000000}"/>
  <bookViews>
    <workbookView xWindow="8805" yWindow="2115" windowWidth="18675" windowHeight="11820" tabRatio="666" xr2:uid="{9C2B8A56-AA7F-4890-95D2-547C1DE286E5}"/>
  </bookViews>
  <sheets>
    <sheet name="Vejledning" sheetId="4" r:id="rId1"/>
    <sheet name="Intervalløn CO10" sheetId="1" r:id="rId2"/>
    <sheet name="Intervalløn OAOs" sheetId="5" r:id="rId3"/>
    <sheet name="DOKS" sheetId="2" r:id="rId4"/>
    <sheet name="KMOK" sheetId="6" r:id="rId5"/>
    <sheet name="Kvote-timer" sheetId="3" r:id="rId6"/>
    <sheet name="Forslag til omregning af måned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7" l="1"/>
  <c r="C22" i="7" s="1"/>
  <c r="D8" i="7"/>
  <c r="D7" i="7"/>
  <c r="D9" i="7" s="1"/>
  <c r="C12" i="7" s="1"/>
  <c r="D6" i="7"/>
  <c r="B5" i="3"/>
  <c r="C5" i="3" s="1"/>
  <c r="B14" i="5"/>
  <c r="B14" i="1"/>
  <c r="B12" i="5"/>
  <c r="B12" i="1"/>
  <c r="B35" i="5"/>
  <c r="B20" i="3"/>
  <c r="C20" i="3" s="1"/>
  <c r="C26" i="5"/>
  <c r="C35" i="5" s="1"/>
  <c r="B35" i="1"/>
  <c r="C26" i="1"/>
  <c r="C35" i="1" s="1"/>
  <c r="C15" i="5"/>
  <c r="C18" i="5" s="1"/>
  <c r="C19" i="5" s="1"/>
  <c r="B19" i="5" s="1"/>
  <c r="C15" i="1"/>
  <c r="B15" i="1" s="1"/>
  <c r="C14" i="2"/>
  <c r="B14" i="2" s="1"/>
  <c r="C14" i="6"/>
  <c r="B14" i="6" s="1"/>
  <c r="B32" i="6"/>
  <c r="C32" i="6" s="1"/>
  <c r="B31" i="6"/>
  <c r="C31" i="6" s="1"/>
  <c r="B26" i="6"/>
  <c r="B29" i="6" s="1"/>
  <c r="C25" i="6"/>
  <c r="C24" i="6"/>
  <c r="B13" i="6"/>
  <c r="B12" i="6"/>
  <c r="B11" i="6"/>
  <c r="B10" i="6"/>
  <c r="B34" i="5"/>
  <c r="C25" i="5"/>
  <c r="C34" i="5" s="1"/>
  <c r="B13" i="5"/>
  <c r="B11" i="5"/>
  <c r="B10" i="5"/>
  <c r="B17" i="3"/>
  <c r="C17" i="3" s="1"/>
  <c r="B15" i="3"/>
  <c r="C15" i="3" s="1"/>
  <c r="B14" i="3"/>
  <c r="C14" i="3" s="1"/>
  <c r="B13" i="3"/>
  <c r="C13" i="3" s="1"/>
  <c r="B12" i="3"/>
  <c r="C12" i="3" s="1"/>
  <c r="B11" i="3"/>
  <c r="C11" i="3" s="1"/>
  <c r="B10" i="3"/>
  <c r="C10" i="3" s="1"/>
  <c r="B9" i="3"/>
  <c r="C9" i="3" s="1"/>
  <c r="B8" i="3"/>
  <c r="C8" i="3" s="1"/>
  <c r="B7" i="3"/>
  <c r="C7" i="3" s="1"/>
  <c r="B6" i="3"/>
  <c r="C6" i="3" s="1"/>
  <c r="B32" i="2"/>
  <c r="C32" i="2" s="1"/>
  <c r="B31" i="2"/>
  <c r="C31" i="2" s="1"/>
  <c r="B26" i="2"/>
  <c r="B29" i="2" s="1"/>
  <c r="C25" i="2"/>
  <c r="C24" i="2"/>
  <c r="B13" i="2"/>
  <c r="B12" i="2"/>
  <c r="B11" i="2"/>
  <c r="B10" i="2"/>
  <c r="B34" i="1"/>
  <c r="C25" i="1"/>
  <c r="C34" i="1" s="1"/>
  <c r="B13" i="1"/>
  <c r="B11" i="1"/>
  <c r="B10" i="1"/>
  <c r="C17" i="2" l="1"/>
  <c r="C18" i="2" s="1"/>
  <c r="B18" i="2" s="1"/>
  <c r="C17" i="6"/>
  <c r="C18" i="6" s="1"/>
  <c r="C39" i="6" s="1"/>
  <c r="C24" i="5"/>
  <c r="C18" i="1"/>
  <c r="C19" i="1" s="1"/>
  <c r="B15" i="5"/>
  <c r="C33" i="6"/>
  <c r="B38" i="6"/>
  <c r="C38" i="6" s="1"/>
  <c r="C29" i="6"/>
  <c r="B18" i="6"/>
  <c r="C26" i="6"/>
  <c r="C33" i="2"/>
  <c r="C29" i="2"/>
  <c r="B38" i="2"/>
  <c r="C38" i="2" s="1"/>
  <c r="C26" i="2"/>
  <c r="C35" i="6" l="1"/>
  <c r="C35" i="2"/>
  <c r="C39" i="2"/>
  <c r="C40" i="2" s="1"/>
  <c r="B40" i="2" s="1"/>
  <c r="B19" i="1"/>
  <c r="C24" i="1"/>
  <c r="B24" i="1" s="1"/>
  <c r="C40" i="6"/>
  <c r="B40" i="6" s="1"/>
  <c r="B31" i="1" l="1"/>
  <c r="B37" i="1"/>
  <c r="B33" i="1"/>
  <c r="B27" i="1"/>
  <c r="C31" i="1" s="1"/>
  <c r="C33" i="1" l="1"/>
  <c r="C36" i="1" s="1"/>
  <c r="C27" i="1"/>
  <c r="C38" i="1"/>
  <c r="B24" i="5" l="1"/>
  <c r="B37" i="5" s="1"/>
  <c r="B31" i="5" l="1"/>
  <c r="B33" i="5"/>
  <c r="B27" i="5"/>
  <c r="C27" i="5" s="1"/>
  <c r="C33" i="5" l="1"/>
  <c r="C36" i="5" s="1"/>
  <c r="C31" i="5"/>
  <c r="C38" i="5" s="1"/>
</calcChain>
</file>

<file path=xl/sharedStrings.xml><?xml version="1.0" encoding="utf-8"?>
<sst xmlns="http://schemas.openxmlformats.org/spreadsheetml/2006/main" count="260" uniqueCount="113">
  <si>
    <t>Beregning af løn på organisationsaftale pr. 1. oktober 2024.</t>
  </si>
  <si>
    <t>Reguleringsfaktor</t>
  </si>
  <si>
    <t>Navn og stilling</t>
  </si>
  <si>
    <t>FLØS-oplysninger</t>
  </si>
  <si>
    <t>Arbejdstidsbrøk</t>
  </si>
  <si>
    <r>
      <t xml:space="preserve">Gl. løn </t>
    </r>
    <r>
      <rPr>
        <sz val="11"/>
        <color indexed="8"/>
        <rFont val="Times New Roman"/>
        <family val="1"/>
      </rPr>
      <t>(værdier tages fra FLØS lønspecifikation)</t>
    </r>
  </si>
  <si>
    <t>Beløb 01.04.24</t>
  </si>
  <si>
    <t>Månedsløn</t>
  </si>
  <si>
    <t>Aftalte intervaler for de enkelte protokolater.</t>
  </si>
  <si>
    <t>Kvalifikationstillæg</t>
  </si>
  <si>
    <t>Start int.</t>
  </si>
  <si>
    <t>Fixpunkt</t>
  </si>
  <si>
    <t>Funktionstillæg</t>
  </si>
  <si>
    <t>Gravere</t>
  </si>
  <si>
    <t>Tillæg</t>
  </si>
  <si>
    <t>Rådighedstillæg</t>
  </si>
  <si>
    <t>Kirketjenere</t>
  </si>
  <si>
    <t>Månedsløn i alt (eks. rådighedstillæg)</t>
  </si>
  <si>
    <t>Kordegne</t>
  </si>
  <si>
    <t>over</t>
  </si>
  <si>
    <t>Forhandling i KM+ORG.</t>
  </si>
  <si>
    <t>Ny-Løn (årlig)</t>
  </si>
  <si>
    <t>Intervalløn eks. rådighedstillæg</t>
  </si>
  <si>
    <t>Rådighedstillæg efter ny overenskomst</t>
  </si>
  <si>
    <t>Løn i alt  efter afrundet grundbeløb</t>
  </si>
  <si>
    <t>Angiv FIKSpunkt for løninterval</t>
  </si>
  <si>
    <t>Kirkemusikere</t>
  </si>
  <si>
    <t>Resultat af beregninger</t>
  </si>
  <si>
    <t>Årsløn i alt i forhold til timetal pr. uge</t>
  </si>
  <si>
    <t>Rådighedstillæg pr. måned</t>
  </si>
  <si>
    <t>Samlet månedsløn (brutto)</t>
  </si>
  <si>
    <t>Difference (+ = mere i løn) årligt</t>
  </si>
  <si>
    <t>Beregning af løn på overenskomst pr. 1. oktober 2024.</t>
  </si>
  <si>
    <t>Gl. løn</t>
  </si>
  <si>
    <t>Grundbeløb</t>
  </si>
  <si>
    <t xml:space="preserve">Faktisk løn </t>
  </si>
  <si>
    <t>Aftalte løntrin for:</t>
  </si>
  <si>
    <t>DOKS Kandidat</t>
  </si>
  <si>
    <t xml:space="preserve">trin </t>
  </si>
  <si>
    <t>to-årigt</t>
  </si>
  <si>
    <t>DOKS Bachelor</t>
  </si>
  <si>
    <t>toårigt</t>
  </si>
  <si>
    <t>KMOK</t>
  </si>
  <si>
    <t>Løn efter basisløntrin (eks. rådighedstillæg)</t>
  </si>
  <si>
    <t>Årsløn i alt (eks. rådighedstillæg)</t>
  </si>
  <si>
    <t>Difference (+ = mere i løn) årligt, hvis negativ se nedenfor</t>
  </si>
  <si>
    <t>Evt. udligningstillæg</t>
  </si>
  <si>
    <t>Samlet årsløn efter ny aftale</t>
  </si>
  <si>
    <t>Løn efter gammel aftale</t>
  </si>
  <si>
    <t>Udligningstillæg</t>
  </si>
  <si>
    <t>Eksempler på omregning fra kvote til timetal</t>
  </si>
  <si>
    <t>Gamle kvote (%)</t>
  </si>
  <si>
    <t>Afrundet efter overenskomst</t>
  </si>
  <si>
    <t>Gr.bel. 31.03.12</t>
  </si>
  <si>
    <t>Mellemregning</t>
  </si>
  <si>
    <t>Månedsløn i alt</t>
  </si>
  <si>
    <t>Årsløn i alt afrundet</t>
  </si>
  <si>
    <t>Månedsløn i alt afrundet</t>
  </si>
  <si>
    <t xml:space="preserve">Månedsløn i alt </t>
  </si>
  <si>
    <t>OK18-tillæg</t>
  </si>
  <si>
    <t>Fradrag i forhold til pensionsordning (15%)</t>
  </si>
  <si>
    <t>Fradrag i forhold til pensionsordning (18%)</t>
  </si>
  <si>
    <t>Fradrag i forhold til pensionsordning (17,1%)</t>
  </si>
  <si>
    <t>Lg1</t>
  </si>
  <si>
    <t>Lg2</t>
  </si>
  <si>
    <t>Lg3</t>
  </si>
  <si>
    <t>1 - 2</t>
  </si>
  <si>
    <t>3 - 4</t>
  </si>
  <si>
    <t>Års ancien.</t>
  </si>
  <si>
    <t>7 - 8</t>
  </si>
  <si>
    <t>kirke</t>
  </si>
  <si>
    <t>2 - 3</t>
  </si>
  <si>
    <t>kirker</t>
  </si>
  <si>
    <t>4 eller fl.</t>
  </si>
  <si>
    <t>Int. top</t>
  </si>
  <si>
    <t>1 - 4</t>
  </si>
  <si>
    <t>Års ancien</t>
  </si>
  <si>
    <t>5 - 8</t>
  </si>
  <si>
    <t>9 - 10</t>
  </si>
  <si>
    <t>5 - 6</t>
  </si>
  <si>
    <t>1 - 6</t>
  </si>
  <si>
    <t>7 - 12</t>
  </si>
  <si>
    <t>13 - 16</t>
  </si>
  <si>
    <t>Nuværende Medarbejdernr.</t>
  </si>
  <si>
    <t>Månedsløn inkl. pension</t>
  </si>
  <si>
    <t>Kirke- og kulturmedarbejder</t>
  </si>
  <si>
    <t>Angiv intervallønstop</t>
  </si>
  <si>
    <t>Int. Top</t>
  </si>
  <si>
    <t>øvrigt land</t>
  </si>
  <si>
    <t>Hovedstaden</t>
  </si>
  <si>
    <t>Indtast kvote %</t>
  </si>
  <si>
    <t>Indtast årligt timetal</t>
  </si>
  <si>
    <t>Rådighedstillæg 1</t>
  </si>
  <si>
    <t>Rådighedstillæg 3</t>
  </si>
  <si>
    <t>Rådighedstillæg 2</t>
  </si>
  <si>
    <t>Vers. 3/2024 jl</t>
  </si>
  <si>
    <t>Beregnet timetal</t>
  </si>
  <si>
    <t>Omregning fra timeløn</t>
  </si>
  <si>
    <t>Beregnede antalt timer pr. år</t>
  </si>
  <si>
    <t>Beregnede antal timer pr. måned</t>
  </si>
  <si>
    <t>Beregnede antal timer pr. uge</t>
  </si>
  <si>
    <t>Beregnede timer</t>
  </si>
  <si>
    <t>Nuværende timeløn (nutidskroner)</t>
  </si>
  <si>
    <t>Omregnet månedsløn (nutidskroner)</t>
  </si>
  <si>
    <t>Omregning fra løn pr. tjeneste</t>
  </si>
  <si>
    <t>Antal timer der gives pr. tjeneste</t>
  </si>
  <si>
    <t>Antal tjenester pr. år</t>
  </si>
  <si>
    <t>Nuværende løn pr. tjeneste (nutiskroner)</t>
  </si>
  <si>
    <t>Nuværende medarbejdernr.</t>
  </si>
  <si>
    <t>mere end 4</t>
  </si>
  <si>
    <t>mere end 8</t>
  </si>
  <si>
    <t>mere end 10</t>
  </si>
  <si>
    <t>mere end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</si>
</sst>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2"/>
      <color theme="1"/>
      <name val="Times New Roman"/>
      <family val="2"/>
    </font>
    <font>
      <sz val="11"/>
      <color theme="1"/>
      <name val="Aptos Narrow"/>
      <family val="2"/>
      <scheme val="minor"/>
    </font>
    <font>
      <sz val="16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name val="Times New Roman"/>
      <family val="2"/>
    </font>
    <font>
      <sz val="10"/>
      <color theme="1"/>
      <name val="Times New Roman"/>
      <family val="1"/>
    </font>
    <font>
      <sz val="11"/>
      <color indexed="8"/>
      <name val="Times New Roman"/>
      <family val="1"/>
    </font>
    <font>
      <b/>
      <sz val="12"/>
      <color rgb="FFFF0000"/>
      <name val="Times New Roman"/>
      <family val="1"/>
    </font>
    <font>
      <sz val="10"/>
      <color theme="1"/>
      <name val="Times New Roman"/>
      <family val="2"/>
    </font>
    <font>
      <b/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49992370372631"/>
        <bgColor indexed="64"/>
      </patternFill>
    </fill>
  </fills>
  <borders count="18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0" borderId="0" xfId="0" applyFont="1"/>
    <xf numFmtId="4" fontId="5" fillId="0" borderId="0" xfId="0" applyNumberFormat="1" applyFont="1" applyAlignment="1">
      <alignment horizontal="right"/>
    </xf>
    <xf numFmtId="4" fontId="0" fillId="0" borderId="10" xfId="0" applyNumberFormat="1" applyBorder="1"/>
    <xf numFmtId="4" fontId="0" fillId="2" borderId="11" xfId="0" applyNumberFormat="1" applyFill="1" applyBorder="1" applyProtection="1">
      <protection locked="0"/>
    </xf>
    <xf numFmtId="0" fontId="0" fillId="0" borderId="12" xfId="0" applyBorder="1"/>
    <xf numFmtId="4" fontId="0" fillId="3" borderId="0" xfId="0" applyNumberFormat="1" applyFill="1"/>
    <xf numFmtId="4" fontId="0" fillId="2" borderId="13" xfId="0" applyNumberFormat="1" applyFill="1" applyBorder="1" applyProtection="1">
      <protection locked="0"/>
    </xf>
    <xf numFmtId="3" fontId="0" fillId="0" borderId="0" xfId="0" applyNumberFormat="1" applyAlignment="1">
      <alignment horizontal="center"/>
    </xf>
    <xf numFmtId="4" fontId="0" fillId="0" borderId="0" xfId="0" applyNumberFormat="1"/>
    <xf numFmtId="3" fontId="0" fillId="0" borderId="0" xfId="0" applyNumberFormat="1"/>
    <xf numFmtId="4" fontId="0" fillId="3" borderId="15" xfId="0" applyNumberFormat="1" applyFill="1" applyBorder="1"/>
    <xf numFmtId="0" fontId="0" fillId="3" borderId="9" xfId="0" applyFill="1" applyBorder="1"/>
    <xf numFmtId="4" fontId="0" fillId="3" borderId="10" xfId="0" applyNumberFormat="1" applyFill="1" applyBorder="1"/>
    <xf numFmtId="4" fontId="0" fillId="3" borderId="11" xfId="0" applyNumberFormat="1" applyFill="1" applyBorder="1"/>
    <xf numFmtId="0" fontId="0" fillId="3" borderId="12" xfId="0" applyFill="1" applyBorder="1"/>
    <xf numFmtId="4" fontId="0" fillId="3" borderId="13" xfId="0" applyNumberFormat="1" applyFill="1" applyBorder="1"/>
    <xf numFmtId="0" fontId="0" fillId="3" borderId="14" xfId="0" applyFill="1" applyBorder="1"/>
    <xf numFmtId="4" fontId="0" fillId="3" borderId="16" xfId="0" applyNumberFormat="1" applyFill="1" applyBorder="1"/>
    <xf numFmtId="0" fontId="0" fillId="0" borderId="0" xfId="0" applyAlignment="1">
      <alignment horizontal="right"/>
    </xf>
    <xf numFmtId="4" fontId="0" fillId="2" borderId="0" xfId="0" applyNumberFormat="1" applyFill="1" applyProtection="1">
      <protection locked="0"/>
    </xf>
    <xf numFmtId="0" fontId="7" fillId="0" borderId="0" xfId="0" applyFont="1" applyAlignment="1">
      <alignment horizontal="right"/>
    </xf>
    <xf numFmtId="0" fontId="0" fillId="4" borderId="9" xfId="0" applyFill="1" applyBorder="1"/>
    <xf numFmtId="4" fontId="0" fillId="4" borderId="10" xfId="0" applyNumberFormat="1" applyFill="1" applyBorder="1"/>
    <xf numFmtId="4" fontId="0" fillId="4" borderId="11" xfId="0" applyNumberFormat="1" applyFill="1" applyBorder="1"/>
    <xf numFmtId="0" fontId="0" fillId="4" borderId="12" xfId="0" applyFill="1" applyBorder="1"/>
    <xf numFmtId="0" fontId="0" fillId="4" borderId="0" xfId="0" applyFill="1"/>
    <xf numFmtId="0" fontId="0" fillId="4" borderId="13" xfId="0" applyFill="1" applyBorder="1"/>
    <xf numFmtId="4" fontId="0" fillId="4" borderId="0" xfId="0" applyNumberFormat="1" applyFill="1"/>
    <xf numFmtId="4" fontId="0" fillId="4" borderId="13" xfId="0" applyNumberFormat="1" applyFill="1" applyBorder="1"/>
    <xf numFmtId="0" fontId="0" fillId="4" borderId="14" xfId="0" applyFill="1" applyBorder="1"/>
    <xf numFmtId="0" fontId="0" fillId="4" borderId="15" xfId="0" applyFill="1" applyBorder="1"/>
    <xf numFmtId="4" fontId="0" fillId="4" borderId="16" xfId="0" applyNumberFormat="1" applyFill="1" applyBorder="1"/>
    <xf numFmtId="4" fontId="0" fillId="4" borderId="15" xfId="0" applyNumberFormat="1" applyFill="1" applyBorder="1"/>
    <xf numFmtId="0" fontId="8" fillId="0" borderId="0" xfId="0" applyFont="1"/>
    <xf numFmtId="0" fontId="0" fillId="2" borderId="0" xfId="0" applyFill="1" applyProtection="1">
      <protection locked="0"/>
    </xf>
    <xf numFmtId="4" fontId="0" fillId="5" borderId="0" xfId="0" applyNumberFormat="1" applyFill="1"/>
    <xf numFmtId="4" fontId="0" fillId="2" borderId="10" xfId="0" applyNumberFormat="1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/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4" fontId="0" fillId="0" borderId="17" xfId="0" applyNumberFormat="1" applyBorder="1" applyAlignment="1">
      <alignment horizontal="center"/>
    </xf>
    <xf numFmtId="0" fontId="4" fillId="2" borderId="0" xfId="0" applyFont="1" applyFill="1" applyAlignment="1" applyProtection="1">
      <alignment horizontal="center"/>
      <protection locked="0"/>
    </xf>
    <xf numFmtId="16" fontId="0" fillId="0" borderId="0" xfId="0" quotePrefix="1" applyNumberFormat="1" applyAlignment="1">
      <alignment horizontal="right"/>
    </xf>
    <xf numFmtId="0" fontId="0" fillId="0" borderId="0" xfId="0" quotePrefix="1" applyAlignment="1">
      <alignment horizontal="right"/>
    </xf>
    <xf numFmtId="0" fontId="4" fillId="6" borderId="17" xfId="0" applyFont="1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3" fontId="0" fillId="0" borderId="0" xfId="0" applyNumberFormat="1" applyAlignment="1">
      <alignment horizontal="right"/>
    </xf>
    <xf numFmtId="0" fontId="10" fillId="0" borderId="0" xfId="0" applyFont="1"/>
    <xf numFmtId="0" fontId="8" fillId="0" borderId="0" xfId="0" applyFont="1" applyAlignment="1">
      <alignment horizontal="right"/>
    </xf>
    <xf numFmtId="0" fontId="9" fillId="0" borderId="0" xfId="1" applyFont="1"/>
    <xf numFmtId="0" fontId="1" fillId="0" borderId="0" xfId="1"/>
    <xf numFmtId="0" fontId="1" fillId="3" borderId="0" xfId="1" applyFill="1" applyProtection="1">
      <protection locked="0"/>
    </xf>
    <xf numFmtId="0" fontId="11" fillId="3" borderId="0" xfId="1" applyFont="1" applyFill="1" applyProtection="1">
      <protection locked="0"/>
    </xf>
    <xf numFmtId="0" fontId="1" fillId="2" borderId="0" xfId="1" applyFill="1"/>
    <xf numFmtId="164" fontId="0" fillId="0" borderId="0" xfId="0" applyNumberFormat="1"/>
    <xf numFmtId="0" fontId="0" fillId="0" borderId="4" xfId="0" applyBorder="1"/>
  </cellXfs>
  <cellStyles count="2">
    <cellStyle name="Normal" xfId="0" builtinId="0"/>
    <cellStyle name="Normal 2" xfId="1" xr:uid="{CD85E528-2DCA-488D-A717-00CE0B38C9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0</xdr:row>
      <xdr:rowOff>79374</xdr:rowOff>
    </xdr:from>
    <xdr:to>
      <xdr:col>8</xdr:col>
      <xdr:colOff>517536</xdr:colOff>
      <xdr:row>47</xdr:row>
      <xdr:rowOff>0</xdr:rowOff>
    </xdr:to>
    <xdr:sp macro="" textlink="">
      <xdr:nvSpPr>
        <xdr:cNvPr id="2" name="Tekstboks 1">
          <a:extLst>
            <a:ext uri="{FF2B5EF4-FFF2-40B4-BE49-F238E27FC236}">
              <a16:creationId xmlns:a16="http://schemas.microsoft.com/office/drawing/2014/main" id="{07F36116-C57F-47D2-841F-95AB2D6E0C86}"/>
            </a:ext>
          </a:extLst>
        </xdr:cNvPr>
        <xdr:cNvSpPr txBox="1"/>
      </xdr:nvSpPr>
      <xdr:spPr>
        <a:xfrm>
          <a:off x="107950" y="79374"/>
          <a:ext cx="5692786" cy="9172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a-DK" sz="1200" b="1">
              <a:solidFill>
                <a:schemeClr val="dk1"/>
              </a:solidFill>
              <a:latin typeface="+mn-lt"/>
              <a:ea typeface="+mn-ea"/>
              <a:cs typeface="+mn-cs"/>
            </a:rPr>
            <a:t>Vejledning for brugen af regneark i forbindelse med overgang til overenskomst.</a:t>
          </a:r>
          <a:endParaRPr lang="da-DK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a-DK" sz="12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da-DK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a-DK" sz="1200">
              <a:solidFill>
                <a:schemeClr val="dk1"/>
              </a:solidFill>
              <a:latin typeface="+mn-lt"/>
              <a:ea typeface="+mn-ea"/>
              <a:cs typeface="+mn-cs"/>
            </a:rPr>
            <a:t>Der er udarbejdet 4 regneark,</a:t>
          </a:r>
          <a:r>
            <a:rPr lang="da-DK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samt en omregningstabel af </a:t>
          </a:r>
          <a:r>
            <a:rPr lang="da-DK" sz="1200">
              <a:solidFill>
                <a:schemeClr val="dk1"/>
              </a:solidFill>
              <a:latin typeface="+mn-lt"/>
              <a:ea typeface="+mn-ea"/>
              <a:cs typeface="+mn-cs"/>
            </a:rPr>
            <a:t>kvote til timer (se faneblade). </a:t>
          </a:r>
        </a:p>
        <a:p>
          <a:r>
            <a:rPr lang="da-DK" sz="1200" b="1">
              <a:solidFill>
                <a:schemeClr val="dk1"/>
              </a:solidFill>
              <a:latin typeface="+mn-lt"/>
              <a:ea typeface="+mn-ea"/>
              <a:cs typeface="+mn-cs"/>
            </a:rPr>
            <a:t>Intervalløn CO10</a:t>
          </a:r>
          <a:endParaRPr lang="da-DK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a-DK" sz="1200">
              <a:solidFill>
                <a:schemeClr val="dk1"/>
              </a:solidFill>
              <a:latin typeface="+mn-lt"/>
              <a:ea typeface="+mn-ea"/>
              <a:cs typeface="+mn-cs"/>
            </a:rPr>
            <a:t>Omfatter stillingsgrupperne:</a:t>
          </a:r>
        </a:p>
        <a:p>
          <a:pPr lvl="0"/>
          <a:r>
            <a:rPr lang="da-DK" sz="1200">
              <a:solidFill>
                <a:schemeClr val="dk1"/>
              </a:solidFill>
              <a:latin typeface="+mn-lt"/>
              <a:ea typeface="+mn-ea"/>
              <a:cs typeface="+mn-cs"/>
            </a:rPr>
            <a:t>- Kordegne</a:t>
          </a:r>
        </a:p>
        <a:p>
          <a:pPr lvl="0"/>
          <a:r>
            <a:rPr lang="da-DK" sz="1200">
              <a:solidFill>
                <a:schemeClr val="dk1"/>
              </a:solidFill>
              <a:latin typeface="+mn-lt"/>
              <a:ea typeface="+mn-ea"/>
              <a:cs typeface="+mn-cs"/>
            </a:rPr>
            <a:t>- Kirke-</a:t>
          </a:r>
          <a:r>
            <a:rPr lang="da-DK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og kulturmedarbejdere</a:t>
          </a:r>
          <a:endParaRPr lang="da-DK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da-DK" sz="1200">
              <a:solidFill>
                <a:schemeClr val="dk1"/>
              </a:solidFill>
              <a:latin typeface="+mn-lt"/>
              <a:ea typeface="+mn-ea"/>
              <a:cs typeface="+mn-cs"/>
            </a:rPr>
            <a:t>- Kirkemusikere</a:t>
          </a:r>
        </a:p>
        <a:p>
          <a:endParaRPr lang="da-DK" sz="12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Intervalløn OAOs</a:t>
          </a:r>
          <a:endParaRPr lang="da-DK" sz="12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Omfatter stillingsgrupperne:</a:t>
          </a:r>
        </a:p>
        <a:p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Gravere</a:t>
          </a:r>
          <a:endParaRPr lang="da-DK" sz="1200">
            <a:effectLst/>
          </a:endParaRPr>
        </a:p>
        <a:p>
          <a:r>
            <a:rPr lang="da-DK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Kirketjenere</a:t>
          </a:r>
          <a:endParaRPr lang="da-DK" sz="1200">
            <a:effectLst/>
          </a:endParaRPr>
        </a:p>
        <a:p>
          <a:endParaRPr lang="da-DK" sz="12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a-DK" sz="1200" b="1">
              <a:solidFill>
                <a:schemeClr val="dk1"/>
              </a:solidFill>
              <a:latin typeface="+mn-lt"/>
              <a:ea typeface="+mn-ea"/>
              <a:cs typeface="+mn-cs"/>
            </a:rPr>
            <a:t>DOKS  organister</a:t>
          </a:r>
          <a:endParaRPr lang="da-DK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da-DK" sz="1200">
              <a:solidFill>
                <a:schemeClr val="dk1"/>
              </a:solidFill>
              <a:latin typeface="+mn-lt"/>
              <a:ea typeface="+mn-ea"/>
              <a:cs typeface="+mn-cs"/>
            </a:rPr>
            <a:t>- Omfatter DOKS organister</a:t>
          </a:r>
        </a:p>
        <a:p>
          <a:endParaRPr lang="da-DK" sz="12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a-DK" sz="1200" b="1">
              <a:solidFill>
                <a:schemeClr val="dk1"/>
              </a:solidFill>
              <a:latin typeface="+mn-lt"/>
              <a:ea typeface="+mn-ea"/>
              <a:cs typeface="+mn-cs"/>
            </a:rPr>
            <a:t>KMOK</a:t>
          </a:r>
          <a:r>
            <a:rPr lang="da-DK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organister</a:t>
          </a:r>
        </a:p>
        <a:p>
          <a:r>
            <a:rPr lang="da-DK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- omfatter KMOK (tidligere PO) organister</a:t>
          </a:r>
          <a:endParaRPr lang="da-DK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da-DK" sz="12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a-DK" sz="1200" b="1">
              <a:solidFill>
                <a:schemeClr val="dk1"/>
              </a:solidFill>
              <a:latin typeface="+mn-lt"/>
              <a:ea typeface="+mn-ea"/>
              <a:cs typeface="+mn-cs"/>
            </a:rPr>
            <a:t>Kvote-timer</a:t>
          </a:r>
        </a:p>
        <a:p>
          <a:r>
            <a:rPr lang="da-DK" sz="1200" b="0">
              <a:solidFill>
                <a:schemeClr val="dk1"/>
              </a:solidFill>
              <a:latin typeface="+mn-lt"/>
              <a:ea typeface="+mn-ea"/>
              <a:cs typeface="+mn-cs"/>
            </a:rPr>
            <a:t>Anvendes</a:t>
          </a:r>
          <a:r>
            <a:rPr lang="da-DK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til omregning fra kvote til timer for de medarbejdere,  som tidligere var ansat på individuelle vilkår med procent af en fuldtidsstilling. Her kan også årlige timetal omregnes til ugentlige timetal.</a:t>
          </a:r>
          <a:endParaRPr lang="da-DK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da-DK" sz="12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a-DK" sz="1200" b="1">
              <a:solidFill>
                <a:schemeClr val="dk1"/>
              </a:solidFill>
              <a:latin typeface="+mn-lt"/>
              <a:ea typeface="+mn-ea"/>
              <a:cs typeface="+mn-cs"/>
            </a:rPr>
            <a:t>Udfyldelse og brugen af regnearkene</a:t>
          </a:r>
          <a:endParaRPr lang="da-DK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da-DK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da-DK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da-DK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da-DK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da-DK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a-DK" sz="1200">
              <a:solidFill>
                <a:schemeClr val="dk1"/>
              </a:solidFill>
              <a:latin typeface="+mn-lt"/>
              <a:ea typeface="+mn-ea"/>
              <a:cs typeface="+mn-cs"/>
            </a:rPr>
            <a:t>Regnearkene er udarbejdet således, at de grønne felter SKAL udfyldes. Det er ikke muligt at taste i andre felter. For at komme fra det ene grønne felt til det næste grønne felt, kan med fordel anvendes tasten TAB. </a:t>
          </a:r>
        </a:p>
        <a:p>
          <a:endParaRPr lang="da-DK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a-DK" sz="1200">
              <a:solidFill>
                <a:schemeClr val="dk1"/>
              </a:solidFill>
              <a:latin typeface="+mn-lt"/>
              <a:ea typeface="+mn-ea"/>
              <a:cs typeface="+mn-cs"/>
            </a:rPr>
            <a:t>De gule felter er mellemregninger. </a:t>
          </a:r>
        </a:p>
        <a:p>
          <a:endParaRPr lang="da-DK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a-DK" sz="1200">
              <a:solidFill>
                <a:schemeClr val="dk1"/>
              </a:solidFill>
              <a:latin typeface="+mn-lt"/>
              <a:ea typeface="+mn-ea"/>
              <a:cs typeface="+mn-cs"/>
            </a:rPr>
            <a:t>Til højre for de grønne felter findes en rød kasse. I kassen er beskrevet en tekst der forklarer, hvad der skal ske med de værdier, hvortil markeringen (linjen) angives.</a:t>
          </a:r>
        </a:p>
        <a:p>
          <a:endParaRPr lang="da-DK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a-DK" sz="1200">
              <a:solidFill>
                <a:schemeClr val="dk1"/>
              </a:solidFill>
              <a:latin typeface="+mn-lt"/>
              <a:ea typeface="+mn-ea"/>
              <a:cs typeface="+mn-cs"/>
            </a:rPr>
            <a:t>Yderste til højre findes lønniveauet for de enkelte stillingsgrupper.</a:t>
          </a:r>
        </a:p>
        <a:p>
          <a:endParaRPr lang="da-DK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a-DK" sz="1200">
              <a:solidFill>
                <a:schemeClr val="dk1"/>
              </a:solidFill>
              <a:latin typeface="+mn-lt"/>
              <a:ea typeface="+mn-ea"/>
              <a:cs typeface="+mn-cs"/>
            </a:rPr>
            <a:t>Nederst i de lyseblå felter vises resultatet af beregningen. </a:t>
          </a:r>
        </a:p>
        <a:p>
          <a:endParaRPr lang="da-DK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a-DK" sz="1200" b="1">
              <a:solidFill>
                <a:schemeClr val="dk1"/>
              </a:solidFill>
              <a:latin typeface="+mn-lt"/>
              <a:ea typeface="+mn-ea"/>
              <a:cs typeface="+mn-cs"/>
            </a:rPr>
            <a:t>OBS: Gem</a:t>
          </a:r>
          <a:r>
            <a:rPr lang="da-DK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en kopi af beregningen og send den med FLØS-indberetningen.</a:t>
          </a:r>
          <a:endParaRPr lang="da-DK" sz="12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a-DK" sz="12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da-DK" sz="12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da-DK" sz="1200"/>
        </a:p>
      </xdr:txBody>
    </xdr:sp>
    <xdr:clientData/>
  </xdr:twoCellAnchor>
  <xdr:twoCellAnchor>
    <xdr:from>
      <xdr:col>0</xdr:col>
      <xdr:colOff>168275</xdr:colOff>
      <xdr:row>43</xdr:row>
      <xdr:rowOff>69850</xdr:rowOff>
    </xdr:from>
    <xdr:to>
      <xdr:col>8</xdr:col>
      <xdr:colOff>311150</xdr:colOff>
      <xdr:row>46</xdr:row>
      <xdr:rowOff>133350</xdr:rowOff>
    </xdr:to>
    <xdr:sp macro="" textlink="">
      <xdr:nvSpPr>
        <xdr:cNvPr id="3" name="Tekstboks 2">
          <a:extLst>
            <a:ext uri="{FF2B5EF4-FFF2-40B4-BE49-F238E27FC236}">
              <a16:creationId xmlns:a16="http://schemas.microsoft.com/office/drawing/2014/main" id="{049AD3B4-9200-4F76-8FA5-D3FC0A40AD50}"/>
            </a:ext>
          </a:extLst>
        </xdr:cNvPr>
        <xdr:cNvSpPr txBox="1"/>
      </xdr:nvSpPr>
      <xdr:spPr>
        <a:xfrm>
          <a:off x="168275" y="8534400"/>
          <a:ext cx="5426075" cy="6540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="1">
              <a:solidFill>
                <a:schemeClr val="dk1"/>
              </a:solidFill>
              <a:latin typeface="+mn-lt"/>
              <a:ea typeface="+mn-ea"/>
              <a:cs typeface="+mn-cs"/>
            </a:rPr>
            <a:t>Når en ny beregning skal foretages på en anden medarbejder SKAL der hentes et ”tomt” regneark – man må ikke genbruge det regneark som man tidligere har udfyldt, på en anden medarbejder.</a:t>
          </a:r>
          <a:endParaRPr lang="da-DK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196850</xdr:colOff>
      <xdr:row>26</xdr:row>
      <xdr:rowOff>3176</xdr:rowOff>
    </xdr:from>
    <xdr:to>
      <xdr:col>8</xdr:col>
      <xdr:colOff>333379</xdr:colOff>
      <xdr:row>29</xdr:row>
      <xdr:rowOff>19085</xdr:rowOff>
    </xdr:to>
    <xdr:sp macro="" textlink="">
      <xdr:nvSpPr>
        <xdr:cNvPr id="4" name="Tekstboks 4">
          <a:extLst>
            <a:ext uri="{FF2B5EF4-FFF2-40B4-BE49-F238E27FC236}">
              <a16:creationId xmlns:a16="http://schemas.microsoft.com/office/drawing/2014/main" id="{A984E856-0064-4858-8B0D-B02F6C11A949}"/>
            </a:ext>
          </a:extLst>
        </xdr:cNvPr>
        <xdr:cNvSpPr txBox="1"/>
      </xdr:nvSpPr>
      <xdr:spPr>
        <a:xfrm>
          <a:off x="196850" y="5121276"/>
          <a:ext cx="5419729" cy="60645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da-DK" sz="1100">
              <a:solidFill>
                <a:schemeClr val="dk1"/>
              </a:solidFill>
              <a:latin typeface="+mn-lt"/>
              <a:ea typeface="+mn-ea"/>
              <a:cs typeface="+mn-cs"/>
            </a:rPr>
            <a:t>Det er nødvendigt for udfyldelsen, at man har protokollatet for de enkelte stillingsgrupper liggende, da rådighedstillæg, basisløntrin eller fikspunktet  i visse tilfælde skal vurderes.  </a:t>
          </a:r>
          <a:endParaRPr lang="da-D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196850</xdr:colOff>
      <xdr:row>7</xdr:row>
      <xdr:rowOff>50801</xdr:rowOff>
    </xdr:from>
    <xdr:to>
      <xdr:col>6</xdr:col>
      <xdr:colOff>320675</xdr:colOff>
      <xdr:row>17</xdr:row>
      <xdr:rowOff>133350</xdr:rowOff>
    </xdr:to>
    <xdr:sp macro="" textlink="">
      <xdr:nvSpPr>
        <xdr:cNvPr id="2" name="Stregbilledforklaring 2 1">
          <a:extLst>
            <a:ext uri="{FF2B5EF4-FFF2-40B4-BE49-F238E27FC236}">
              <a16:creationId xmlns:a16="http://schemas.microsoft.com/office/drawing/2014/main" id="{08E3D0E7-E6EA-4C95-B402-8392B278208E}"/>
            </a:ext>
          </a:extLst>
        </xdr:cNvPr>
        <xdr:cNvSpPr/>
      </xdr:nvSpPr>
      <xdr:spPr>
        <a:xfrm>
          <a:off x="4819650" y="1327151"/>
          <a:ext cx="2117725" cy="1968499"/>
        </a:xfrm>
        <a:prstGeom prst="borderCallout2">
          <a:avLst>
            <a:gd name="adj1" fmla="val 101141"/>
            <a:gd name="adj2" fmla="val 14937"/>
            <a:gd name="adj3" fmla="val 124816"/>
            <a:gd name="adj4" fmla="val -36454"/>
            <a:gd name="adj5" fmla="val 248580"/>
            <a:gd name="adj6" fmla="val -49802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 anchorCtr="0"/>
        <a:lstStyle/>
        <a:p>
          <a:pPr algn="l"/>
          <a:r>
            <a:rPr lang="da-DK" sz="1100"/>
            <a:t>Dette</a:t>
          </a:r>
          <a:r>
            <a:rPr lang="da-DK" sz="1100" baseline="0"/>
            <a:t> grundbeløb skal ligge indenfor den i overenskomsten aftalte intervalløn ud fra opgavesættet i stillingen.  Overstiger lønnen intervallet øverste  grundbeløb udmøntes udligningstillæg. Ligger den under </a:t>
          </a:r>
          <a:r>
            <a:rPr lang="da-DK" sz="1100" b="1" baseline="0"/>
            <a:t>skal </a:t>
          </a:r>
          <a:r>
            <a:rPr lang="da-DK" sz="1100" baseline="0"/>
            <a:t>medarbejderen indplaceres på fixpunktet.</a:t>
          </a:r>
        </a:p>
        <a:p>
          <a:pPr algn="l"/>
          <a:endParaRPr lang="da-DK" sz="800" baseline="0"/>
        </a:p>
      </xdr:txBody>
    </xdr:sp>
    <xdr:clientData/>
  </xdr:twoCellAnchor>
  <xdr:twoCellAnchor>
    <xdr:from>
      <xdr:col>3</xdr:col>
      <xdr:colOff>180975</xdr:colOff>
      <xdr:row>18</xdr:row>
      <xdr:rowOff>126999</xdr:rowOff>
    </xdr:from>
    <xdr:to>
      <xdr:col>6</xdr:col>
      <xdr:colOff>279419</xdr:colOff>
      <xdr:row>24</xdr:row>
      <xdr:rowOff>76200</xdr:rowOff>
    </xdr:to>
    <xdr:sp macro="" textlink="">
      <xdr:nvSpPr>
        <xdr:cNvPr id="3" name="Stregbilledforklaring 2 2">
          <a:extLst>
            <a:ext uri="{FF2B5EF4-FFF2-40B4-BE49-F238E27FC236}">
              <a16:creationId xmlns:a16="http://schemas.microsoft.com/office/drawing/2014/main" id="{414E6743-A4E5-4264-A679-23A01C892410}"/>
            </a:ext>
          </a:extLst>
        </xdr:cNvPr>
        <xdr:cNvSpPr/>
      </xdr:nvSpPr>
      <xdr:spPr>
        <a:xfrm>
          <a:off x="4803775" y="3486149"/>
          <a:ext cx="2092344" cy="1130301"/>
        </a:xfrm>
        <a:prstGeom prst="borderCallout2">
          <a:avLst>
            <a:gd name="adj1" fmla="val 89766"/>
            <a:gd name="adj2" fmla="val 416"/>
            <a:gd name="adj3" fmla="val 169689"/>
            <a:gd name="adj4" fmla="val -25050"/>
            <a:gd name="adj5" fmla="val 260706"/>
            <a:gd name="adj6" fmla="val -51389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 anchorCtr="0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/>
            <a:t>Dette</a:t>
          </a:r>
          <a:r>
            <a:rPr lang="da-DK" sz="1100" baseline="0"/>
            <a:t> grundbeløb skal indberettes på 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8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="1" baseline="0"/>
            <a:t>Kordegn, kirke- og kulturmedarbejdere og Kirkemusiker</a:t>
          </a:r>
          <a:r>
            <a:rPr lang="da-DK" sz="1100" baseline="0"/>
            <a:t>  </a:t>
          </a:r>
        </a:p>
      </xdr:txBody>
    </xdr:sp>
    <xdr:clientData/>
  </xdr:twoCellAnchor>
  <xdr:twoCellAnchor>
    <xdr:from>
      <xdr:col>3</xdr:col>
      <xdr:colOff>187326</xdr:colOff>
      <xdr:row>0</xdr:row>
      <xdr:rowOff>38100</xdr:rowOff>
    </xdr:from>
    <xdr:to>
      <xdr:col>6</xdr:col>
      <xdr:colOff>323870</xdr:colOff>
      <xdr:row>6</xdr:row>
      <xdr:rowOff>31750</xdr:rowOff>
    </xdr:to>
    <xdr:sp macro="" textlink="">
      <xdr:nvSpPr>
        <xdr:cNvPr id="4" name="Stregbilledforklaring 2 3">
          <a:extLst>
            <a:ext uri="{FF2B5EF4-FFF2-40B4-BE49-F238E27FC236}">
              <a16:creationId xmlns:a16="http://schemas.microsoft.com/office/drawing/2014/main" id="{75DC9543-80E4-41E2-9696-E8CC2A9C1CF4}"/>
            </a:ext>
          </a:extLst>
        </xdr:cNvPr>
        <xdr:cNvSpPr/>
      </xdr:nvSpPr>
      <xdr:spPr>
        <a:xfrm>
          <a:off x="4810126" y="38100"/>
          <a:ext cx="2130444" cy="1187450"/>
        </a:xfrm>
        <a:prstGeom prst="borderCallout2">
          <a:avLst>
            <a:gd name="adj1" fmla="val 41776"/>
            <a:gd name="adj2" fmla="val -3053"/>
            <a:gd name="adj3" fmla="val 41777"/>
            <a:gd name="adj4" fmla="val -24558"/>
            <a:gd name="adj5" fmla="val 78413"/>
            <a:gd name="adj6" fmla="val -52595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/>
        <a:lstStyle/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Ugentlige arbejdstimer indtastes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da-DK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hele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timer. Omregning fra kvote til timer, sker til hele timer efter almindelige afrundingsregler. Se evt. eksempler i arket Kvote-timer.</a:t>
          </a:r>
          <a:endParaRPr lang="da-DK" sz="1000">
            <a:effectLst/>
          </a:endParaRPr>
        </a:p>
      </xdr:txBody>
    </xdr:sp>
    <xdr:clientData/>
  </xdr:twoCellAnchor>
  <xdr:twoCellAnchor>
    <xdr:from>
      <xdr:col>3</xdr:col>
      <xdr:colOff>184150</xdr:colOff>
      <xdr:row>25</xdr:row>
      <xdr:rowOff>44450</xdr:rowOff>
    </xdr:from>
    <xdr:to>
      <xdr:col>6</xdr:col>
      <xdr:colOff>282594</xdr:colOff>
      <xdr:row>30</xdr:row>
      <xdr:rowOff>133350</xdr:rowOff>
    </xdr:to>
    <xdr:sp macro="" textlink="">
      <xdr:nvSpPr>
        <xdr:cNvPr id="5" name="Stregbilledforklaring 2 2">
          <a:extLst>
            <a:ext uri="{FF2B5EF4-FFF2-40B4-BE49-F238E27FC236}">
              <a16:creationId xmlns:a16="http://schemas.microsoft.com/office/drawing/2014/main" id="{8C1D2AD3-EF28-4F9C-B60F-33FC9D52E403}"/>
            </a:ext>
          </a:extLst>
        </xdr:cNvPr>
        <xdr:cNvSpPr/>
      </xdr:nvSpPr>
      <xdr:spPr>
        <a:xfrm>
          <a:off x="4806950" y="4781550"/>
          <a:ext cx="2092344" cy="1073150"/>
        </a:xfrm>
        <a:prstGeom prst="borderCallout2">
          <a:avLst>
            <a:gd name="adj1" fmla="val 98130"/>
            <a:gd name="adj2" fmla="val 415"/>
            <a:gd name="adj3" fmla="val 124815"/>
            <a:gd name="adj4" fmla="val -29603"/>
            <a:gd name="adj5" fmla="val 171355"/>
            <a:gd name="adj6" fmla="val -51692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 anchorCtr="0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/>
            <a:t>Dette kommer automatisk via</a:t>
          </a:r>
          <a:r>
            <a:rPr lang="da-DK" sz="1100" baseline="0"/>
            <a:t> lønklassen i FLØS og skal derfor ikke indberettes.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Kordegn, kirke- og kulturmedarbejdere og Kirkemusiker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da-DK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100" baseline="0"/>
        </a:p>
      </xdr:txBody>
    </xdr:sp>
    <xdr:clientData/>
  </xdr:twoCellAnchor>
  <xdr:twoCellAnchor>
    <xdr:from>
      <xdr:col>3</xdr:col>
      <xdr:colOff>184150</xdr:colOff>
      <xdr:row>31</xdr:row>
      <xdr:rowOff>31750</xdr:rowOff>
    </xdr:from>
    <xdr:to>
      <xdr:col>6</xdr:col>
      <xdr:colOff>292100</xdr:colOff>
      <xdr:row>37</xdr:row>
      <xdr:rowOff>104804</xdr:rowOff>
    </xdr:to>
    <xdr:sp macro="" textlink="">
      <xdr:nvSpPr>
        <xdr:cNvPr id="6" name="Stregbilledforklaring 2 3">
          <a:extLst>
            <a:ext uri="{FF2B5EF4-FFF2-40B4-BE49-F238E27FC236}">
              <a16:creationId xmlns:a16="http://schemas.microsoft.com/office/drawing/2014/main" id="{D795FE0E-3EAD-43A4-90A2-E49A0A0FBE57}"/>
            </a:ext>
          </a:extLst>
        </xdr:cNvPr>
        <xdr:cNvSpPr/>
      </xdr:nvSpPr>
      <xdr:spPr>
        <a:xfrm>
          <a:off x="4806950" y="5949950"/>
          <a:ext cx="2101850" cy="1254154"/>
        </a:xfrm>
        <a:prstGeom prst="borderCallout2">
          <a:avLst>
            <a:gd name="adj1" fmla="val 74756"/>
            <a:gd name="adj2" fmla="val 121"/>
            <a:gd name="adj3" fmla="val 84684"/>
            <a:gd name="adj4" fmla="val -33812"/>
            <a:gd name="adj5" fmla="val 84150"/>
            <a:gd name="adj6" fmla="val -51018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lang="da-DK" sz="1100" baseline="0"/>
            <a:t>Hvis dette felt indeholder et beløb skal værdien indberettes som udligningstillæg. </a:t>
          </a:r>
        </a:p>
        <a:p>
          <a:pPr algn="l"/>
          <a:r>
            <a:rPr lang="da-DK" sz="1100" baseline="0"/>
            <a:t>Et evt. udligningstillæg skal anføres i ansættelsesbeviset under punktet "Øvrige væsentlige vilkår for stillingen.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196850</xdr:colOff>
      <xdr:row>7</xdr:row>
      <xdr:rowOff>63501</xdr:rowOff>
    </xdr:from>
    <xdr:to>
      <xdr:col>6</xdr:col>
      <xdr:colOff>320675</xdr:colOff>
      <xdr:row>19</xdr:row>
      <xdr:rowOff>69850</xdr:rowOff>
    </xdr:to>
    <xdr:sp macro="" textlink="">
      <xdr:nvSpPr>
        <xdr:cNvPr id="2" name="Stregbilledforklaring 2 1">
          <a:extLst>
            <a:ext uri="{FF2B5EF4-FFF2-40B4-BE49-F238E27FC236}">
              <a16:creationId xmlns:a16="http://schemas.microsoft.com/office/drawing/2014/main" id="{3B1AA93E-F8A3-43EA-AAED-F52A885BC790}"/>
            </a:ext>
          </a:extLst>
        </xdr:cNvPr>
        <xdr:cNvSpPr/>
      </xdr:nvSpPr>
      <xdr:spPr>
        <a:xfrm>
          <a:off x="4819650" y="1339851"/>
          <a:ext cx="2117725" cy="2285999"/>
        </a:xfrm>
        <a:prstGeom prst="borderCallout2">
          <a:avLst>
            <a:gd name="adj1" fmla="val 101721"/>
            <a:gd name="adj2" fmla="val 4742"/>
            <a:gd name="adj3" fmla="val 113747"/>
            <a:gd name="adj4" fmla="val -46350"/>
            <a:gd name="adj5" fmla="val 211794"/>
            <a:gd name="adj6" fmla="val -51001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 anchorCtr="0"/>
        <a:lstStyle/>
        <a:p>
          <a:pPr algn="l"/>
          <a:r>
            <a:rPr lang="da-DK" sz="1100"/>
            <a:t>Dette</a:t>
          </a:r>
          <a:r>
            <a:rPr lang="da-DK" sz="1100" baseline="0"/>
            <a:t> grundbeløb skal ligge indenfor den i overenskomsten aftalte intervalløn ud fra opgavesættet i stillingen (se til højre herfor).  Overstiger lønnen intervallets øverste  grundbeløb udmøntes udligningstillæg. Ligger den under </a:t>
          </a:r>
          <a:r>
            <a:rPr lang="da-DK" sz="1100" b="1" baseline="0"/>
            <a:t>skal </a:t>
          </a:r>
          <a:r>
            <a:rPr lang="da-DK" sz="1100" baseline="0"/>
            <a:t>medarbejderen indplaceres på fixpunktet.</a:t>
          </a:r>
        </a:p>
        <a:p>
          <a:pPr algn="l"/>
          <a:endParaRPr lang="da-DK" sz="800" baseline="0"/>
        </a:p>
        <a:p>
          <a:pPr algn="l"/>
          <a:r>
            <a:rPr lang="da-DK" sz="1100" baseline="0"/>
            <a:t>Vejledning til FLØS 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Graver</a:t>
          </a:r>
          <a:endParaRPr lang="da-DK" sz="800" b="1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Kirketjener</a:t>
          </a:r>
          <a:r>
            <a:rPr lang="da-D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da-DK" sz="800" b="1" baseline="0"/>
        </a:p>
      </xdr:txBody>
    </xdr:sp>
    <xdr:clientData/>
  </xdr:twoCellAnchor>
  <xdr:twoCellAnchor>
    <xdr:from>
      <xdr:col>3</xdr:col>
      <xdr:colOff>212725</xdr:colOff>
      <xdr:row>20</xdr:row>
      <xdr:rowOff>31749</xdr:rowOff>
    </xdr:from>
    <xdr:to>
      <xdr:col>6</xdr:col>
      <xdr:colOff>311169</xdr:colOff>
      <xdr:row>24</xdr:row>
      <xdr:rowOff>88900</xdr:rowOff>
    </xdr:to>
    <xdr:sp macro="" textlink="">
      <xdr:nvSpPr>
        <xdr:cNvPr id="3" name="Stregbilledforklaring 2 2">
          <a:extLst>
            <a:ext uri="{FF2B5EF4-FFF2-40B4-BE49-F238E27FC236}">
              <a16:creationId xmlns:a16="http://schemas.microsoft.com/office/drawing/2014/main" id="{BEE419B0-EE10-48DD-9DEE-9D9E4C4E62B0}"/>
            </a:ext>
          </a:extLst>
        </xdr:cNvPr>
        <xdr:cNvSpPr/>
      </xdr:nvSpPr>
      <xdr:spPr>
        <a:xfrm>
          <a:off x="4835525" y="3784599"/>
          <a:ext cx="2092344" cy="774701"/>
        </a:xfrm>
        <a:prstGeom prst="borderCallout2">
          <a:avLst>
            <a:gd name="adj1" fmla="val 81461"/>
            <a:gd name="adj2" fmla="val -191"/>
            <a:gd name="adj3" fmla="val 260743"/>
            <a:gd name="adj4" fmla="val -6234"/>
            <a:gd name="adj5" fmla="val 331292"/>
            <a:gd name="adj6" fmla="val -5199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 anchorCtr="0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/>
            <a:t>Dette</a:t>
          </a:r>
          <a:r>
            <a:rPr lang="da-DK" sz="1100" baseline="0"/>
            <a:t> grundbeløb skal indberettes på 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8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Graver</a:t>
          </a:r>
          <a:r>
            <a:rPr lang="da-DK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da-DK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og Kirketjener</a:t>
          </a:r>
          <a:r>
            <a:rPr lang="da-D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da-DK" sz="1100" baseline="0"/>
            <a:t> </a:t>
          </a:r>
        </a:p>
      </xdr:txBody>
    </xdr:sp>
    <xdr:clientData/>
  </xdr:twoCellAnchor>
  <xdr:twoCellAnchor>
    <xdr:from>
      <xdr:col>3</xdr:col>
      <xdr:colOff>187326</xdr:colOff>
      <xdr:row>0</xdr:row>
      <xdr:rowOff>38100</xdr:rowOff>
    </xdr:from>
    <xdr:to>
      <xdr:col>6</xdr:col>
      <xdr:colOff>323870</xdr:colOff>
      <xdr:row>6</xdr:row>
      <xdr:rowOff>31750</xdr:rowOff>
    </xdr:to>
    <xdr:sp macro="" textlink="">
      <xdr:nvSpPr>
        <xdr:cNvPr id="4" name="Stregbilledforklaring 2 3">
          <a:extLst>
            <a:ext uri="{FF2B5EF4-FFF2-40B4-BE49-F238E27FC236}">
              <a16:creationId xmlns:a16="http://schemas.microsoft.com/office/drawing/2014/main" id="{77CED64D-DF30-4CB7-B200-048281198E25}"/>
            </a:ext>
          </a:extLst>
        </xdr:cNvPr>
        <xdr:cNvSpPr/>
      </xdr:nvSpPr>
      <xdr:spPr>
        <a:xfrm>
          <a:off x="4810126" y="38100"/>
          <a:ext cx="2130444" cy="1187450"/>
        </a:xfrm>
        <a:prstGeom prst="borderCallout2">
          <a:avLst>
            <a:gd name="adj1" fmla="val 41776"/>
            <a:gd name="adj2" fmla="val -3053"/>
            <a:gd name="adj3" fmla="val 41777"/>
            <a:gd name="adj4" fmla="val -24558"/>
            <a:gd name="adj5" fmla="val 78413"/>
            <a:gd name="adj6" fmla="val -52595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/>
        <a:lstStyle/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Ugentlige arbejdstimer indtastes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da-DK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hele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timer. Omregning fra kvote til timer, sker til hele timer efter almindelige afrundingsregler. Se evt. eksempler i arket Kvote-timer.</a:t>
          </a:r>
          <a:endParaRPr lang="da-DK" sz="1000">
            <a:effectLst/>
          </a:endParaRPr>
        </a:p>
      </xdr:txBody>
    </xdr:sp>
    <xdr:clientData/>
  </xdr:twoCellAnchor>
  <xdr:twoCellAnchor>
    <xdr:from>
      <xdr:col>3</xdr:col>
      <xdr:colOff>222250</xdr:colOff>
      <xdr:row>25</xdr:row>
      <xdr:rowOff>82550</xdr:rowOff>
    </xdr:from>
    <xdr:to>
      <xdr:col>6</xdr:col>
      <xdr:colOff>320694</xdr:colOff>
      <xdr:row>29</xdr:row>
      <xdr:rowOff>177801</xdr:rowOff>
    </xdr:to>
    <xdr:sp macro="" textlink="">
      <xdr:nvSpPr>
        <xdr:cNvPr id="5" name="Stregbilledforklaring 2 2">
          <a:extLst>
            <a:ext uri="{FF2B5EF4-FFF2-40B4-BE49-F238E27FC236}">
              <a16:creationId xmlns:a16="http://schemas.microsoft.com/office/drawing/2014/main" id="{0D132F07-2CE6-4B71-8C7F-93C7E243CAC2}"/>
            </a:ext>
          </a:extLst>
        </xdr:cNvPr>
        <xdr:cNvSpPr/>
      </xdr:nvSpPr>
      <xdr:spPr>
        <a:xfrm>
          <a:off x="4845050" y="4749800"/>
          <a:ext cx="2092344" cy="882651"/>
        </a:xfrm>
        <a:prstGeom prst="borderCallout2">
          <a:avLst>
            <a:gd name="adj1" fmla="val 75079"/>
            <a:gd name="adj2" fmla="val -494"/>
            <a:gd name="adj3" fmla="val 186982"/>
            <a:gd name="adj4" fmla="val -5626"/>
            <a:gd name="adj5" fmla="val 206021"/>
            <a:gd name="adj6" fmla="val -52603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 anchorCtr="0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/>
            <a:t>Dette</a:t>
          </a:r>
          <a:r>
            <a:rPr lang="da-DK" sz="1100" baseline="0"/>
            <a:t> grundbeløb skal indberettes på 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1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Graver</a:t>
          </a:r>
          <a:r>
            <a:rPr lang="da-DK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 Kirketjener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da-DK" sz="1100" baseline="0"/>
        </a:p>
      </xdr:txBody>
    </xdr:sp>
    <xdr:clientData/>
  </xdr:twoCellAnchor>
  <xdr:twoCellAnchor>
    <xdr:from>
      <xdr:col>3</xdr:col>
      <xdr:colOff>228600</xdr:colOff>
      <xdr:row>30</xdr:row>
      <xdr:rowOff>120650</xdr:rowOff>
    </xdr:from>
    <xdr:to>
      <xdr:col>6</xdr:col>
      <xdr:colOff>342900</xdr:colOff>
      <xdr:row>37</xdr:row>
      <xdr:rowOff>85754</xdr:rowOff>
    </xdr:to>
    <xdr:sp macro="" textlink="">
      <xdr:nvSpPr>
        <xdr:cNvPr id="6" name="Stregbilledforklaring 2 3">
          <a:extLst>
            <a:ext uri="{FF2B5EF4-FFF2-40B4-BE49-F238E27FC236}">
              <a16:creationId xmlns:a16="http://schemas.microsoft.com/office/drawing/2014/main" id="{8195F277-3ED2-46CB-89FA-43CD7EB26C9F}"/>
            </a:ext>
          </a:extLst>
        </xdr:cNvPr>
        <xdr:cNvSpPr/>
      </xdr:nvSpPr>
      <xdr:spPr>
        <a:xfrm>
          <a:off x="4851400" y="5772150"/>
          <a:ext cx="2108200" cy="1343054"/>
        </a:xfrm>
        <a:prstGeom prst="borderCallout2">
          <a:avLst>
            <a:gd name="adj1" fmla="val 69123"/>
            <a:gd name="adj2" fmla="val 112"/>
            <a:gd name="adj3" fmla="val 84866"/>
            <a:gd name="adj4" fmla="val -12451"/>
            <a:gd name="adj5" fmla="val 87289"/>
            <a:gd name="adj6" fmla="val -53125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lang="da-DK" sz="1100" baseline="0"/>
            <a:t>Hvis dette felt indeholder et beløb skal værdien indberettes som udligningstillæg.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 evt. udligningstillæg skal anføres i ansættelsesbeviset under punktet "Øvrige væsentlige vilkår for stillingen.</a:t>
          </a:r>
          <a:endParaRPr lang="da-DK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130174</xdr:colOff>
      <xdr:row>8</xdr:row>
      <xdr:rowOff>34924</xdr:rowOff>
    </xdr:from>
    <xdr:to>
      <xdr:col>6</xdr:col>
      <xdr:colOff>339725</xdr:colOff>
      <xdr:row>14</xdr:row>
      <xdr:rowOff>92075</xdr:rowOff>
    </xdr:to>
    <xdr:sp macro="" textlink="">
      <xdr:nvSpPr>
        <xdr:cNvPr id="2" name="Stregbilledforklaring 2 1">
          <a:extLst>
            <a:ext uri="{FF2B5EF4-FFF2-40B4-BE49-F238E27FC236}">
              <a16:creationId xmlns:a16="http://schemas.microsoft.com/office/drawing/2014/main" id="{BF98700B-2E0D-472B-A676-3D02EA570029}"/>
            </a:ext>
          </a:extLst>
        </xdr:cNvPr>
        <xdr:cNvSpPr/>
      </xdr:nvSpPr>
      <xdr:spPr>
        <a:xfrm>
          <a:off x="4752974" y="1501774"/>
          <a:ext cx="2203451" cy="1238251"/>
        </a:xfrm>
        <a:prstGeom prst="borderCallout2">
          <a:avLst>
            <a:gd name="adj1" fmla="val 92298"/>
            <a:gd name="adj2" fmla="val -216"/>
            <a:gd name="adj3" fmla="val 99767"/>
            <a:gd name="adj4" fmla="val -43139"/>
            <a:gd name="adj5" fmla="val 140548"/>
            <a:gd name="adj6" fmla="val -44968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lang="da-DK" sz="1100"/>
            <a:t>Dette beløb er den tidligere løn omregnet til grundbeløb 31.03.20212.</a:t>
          </a:r>
        </a:p>
        <a:p>
          <a:pPr algn="l"/>
          <a:r>
            <a:rPr lang="da-DK" sz="1100"/>
            <a:t>Dette</a:t>
          </a:r>
          <a:r>
            <a:rPr lang="da-DK" sz="1100" baseline="0"/>
            <a:t> grundbeløb er udgangspunkt for den videre beregning.</a:t>
          </a:r>
        </a:p>
      </xdr:txBody>
    </xdr:sp>
    <xdr:clientData/>
  </xdr:twoCellAnchor>
  <xdr:twoCellAnchor>
    <xdr:from>
      <xdr:col>3</xdr:col>
      <xdr:colOff>142874</xdr:colOff>
      <xdr:row>15</xdr:row>
      <xdr:rowOff>187324</xdr:rowOff>
    </xdr:from>
    <xdr:to>
      <xdr:col>6</xdr:col>
      <xdr:colOff>320674</xdr:colOff>
      <xdr:row>21</xdr:row>
      <xdr:rowOff>88918</xdr:rowOff>
    </xdr:to>
    <xdr:sp macro="" textlink="">
      <xdr:nvSpPr>
        <xdr:cNvPr id="3" name="Stregbilledforklaring 2 2">
          <a:extLst>
            <a:ext uri="{FF2B5EF4-FFF2-40B4-BE49-F238E27FC236}">
              <a16:creationId xmlns:a16="http://schemas.microsoft.com/office/drawing/2014/main" id="{DA78B82B-44C0-4638-9FA2-030673CA6734}"/>
            </a:ext>
          </a:extLst>
        </xdr:cNvPr>
        <xdr:cNvSpPr/>
      </xdr:nvSpPr>
      <xdr:spPr>
        <a:xfrm>
          <a:off x="4765674" y="2930524"/>
          <a:ext cx="2171700" cy="1082694"/>
        </a:xfrm>
        <a:prstGeom prst="borderCallout2">
          <a:avLst>
            <a:gd name="adj1" fmla="val 62319"/>
            <a:gd name="adj2" fmla="val -1171"/>
            <a:gd name="adj3" fmla="val 75420"/>
            <a:gd name="adj4" fmla="val -42847"/>
            <a:gd name="adj5" fmla="val 129689"/>
            <a:gd name="adj6" fmla="val -45768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/>
        <a:lstStyle/>
        <a:p>
          <a:pPr algn="l">
            <a:lnSpc>
              <a:spcPts val="1200"/>
            </a:lnSpc>
          </a:pPr>
          <a:r>
            <a:rPr lang="da-DK" sz="1100" baseline="0"/>
            <a:t>Her angives det basisløntrin (grundbeløb) som den ansatte er berettiget til efter anciennitet (se kolonne K)</a:t>
          </a: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optjenes ½ anciennitet ved ansættelse under 15 timer pr. uge</a:t>
          </a:r>
          <a:endParaRPr lang="da-DK">
            <a:effectLst/>
          </a:endParaRPr>
        </a:p>
        <a:p>
          <a:pPr algn="l">
            <a:lnSpc>
              <a:spcPts val="1200"/>
            </a:lnSpc>
          </a:pPr>
          <a:endParaRPr lang="da-DK" sz="1100" baseline="0"/>
        </a:p>
      </xdr:txBody>
    </xdr:sp>
    <xdr:clientData/>
  </xdr:twoCellAnchor>
  <xdr:twoCellAnchor>
    <xdr:from>
      <xdr:col>3</xdr:col>
      <xdr:colOff>174625</xdr:colOff>
      <xdr:row>31</xdr:row>
      <xdr:rowOff>76200</xdr:rowOff>
    </xdr:from>
    <xdr:to>
      <xdr:col>6</xdr:col>
      <xdr:colOff>365125</xdr:colOff>
      <xdr:row>39</xdr:row>
      <xdr:rowOff>98454</xdr:rowOff>
    </xdr:to>
    <xdr:sp macro="" textlink="">
      <xdr:nvSpPr>
        <xdr:cNvPr id="4" name="Stregbilledforklaring 2 3">
          <a:extLst>
            <a:ext uri="{FF2B5EF4-FFF2-40B4-BE49-F238E27FC236}">
              <a16:creationId xmlns:a16="http://schemas.microsoft.com/office/drawing/2014/main" id="{7ADBC998-4A90-4E82-A004-A912C887543F}"/>
            </a:ext>
          </a:extLst>
        </xdr:cNvPr>
        <xdr:cNvSpPr/>
      </xdr:nvSpPr>
      <xdr:spPr>
        <a:xfrm>
          <a:off x="4797425" y="5727700"/>
          <a:ext cx="2184400" cy="1419254"/>
        </a:xfrm>
        <a:prstGeom prst="borderCallout2">
          <a:avLst>
            <a:gd name="adj1" fmla="val 50717"/>
            <a:gd name="adj2" fmla="val -1737"/>
            <a:gd name="adj3" fmla="val 62033"/>
            <a:gd name="adj4" fmla="val -36748"/>
            <a:gd name="adj5" fmla="val 99932"/>
            <a:gd name="adj6" fmla="val -48100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lang="da-DK" sz="1100" baseline="0"/>
            <a:t>Hvis dette felt indeholder et beløb skal værdien indberettes som udligningstillæg.</a:t>
          </a:r>
        </a:p>
        <a:p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 evt. udligningstillæg skal anføres i ansættelsesbeviset under punktet "Øvrige væsentlige vilkår for stillingen.</a:t>
          </a:r>
          <a:endParaRPr lang="da-DK">
            <a:effectLst/>
          </a:endParaRPr>
        </a:p>
      </xdr:txBody>
    </xdr:sp>
    <xdr:clientData/>
  </xdr:twoCellAnchor>
  <xdr:twoCellAnchor>
    <xdr:from>
      <xdr:col>3</xdr:col>
      <xdr:colOff>155575</xdr:colOff>
      <xdr:row>22</xdr:row>
      <xdr:rowOff>114300</xdr:rowOff>
    </xdr:from>
    <xdr:to>
      <xdr:col>6</xdr:col>
      <xdr:colOff>346074</xdr:colOff>
      <xdr:row>30</xdr:row>
      <xdr:rowOff>101600</xdr:rowOff>
    </xdr:to>
    <xdr:sp macro="" textlink="">
      <xdr:nvSpPr>
        <xdr:cNvPr id="5" name="Stregbilledforklaring 2 4">
          <a:extLst>
            <a:ext uri="{FF2B5EF4-FFF2-40B4-BE49-F238E27FC236}">
              <a16:creationId xmlns:a16="http://schemas.microsoft.com/office/drawing/2014/main" id="{3156D95C-B7DF-4A0F-A503-CB0F06AAC397}"/>
            </a:ext>
          </a:extLst>
        </xdr:cNvPr>
        <xdr:cNvSpPr/>
      </xdr:nvSpPr>
      <xdr:spPr>
        <a:xfrm>
          <a:off x="4778375" y="4159250"/>
          <a:ext cx="2184399" cy="1397000"/>
        </a:xfrm>
        <a:prstGeom prst="borderCallout2">
          <a:avLst>
            <a:gd name="adj1" fmla="val 34893"/>
            <a:gd name="adj2" fmla="val -226"/>
            <a:gd name="adj3" fmla="val 34259"/>
            <a:gd name="adj4" fmla="val -31256"/>
            <a:gd name="adj5" fmla="val 29649"/>
            <a:gd name="adj6" fmla="val -46423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For DOKS organister afhænger rådighedstillægget af organistens anciennitet, jf. AC-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overenskomstens, bilag 6, litra A, punkt 9</a:t>
          </a:r>
          <a:r>
            <a:rPr lang="da-D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optjenes ½ anciennitet ved ansættelse under 15 timer pr. uge</a:t>
          </a:r>
          <a:endParaRPr lang="da-DK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100" baseline="0"/>
        </a:p>
        <a:p>
          <a:pPr algn="l"/>
          <a:endParaRPr lang="da-DK" sz="1100" baseline="0"/>
        </a:p>
      </xdr:txBody>
    </xdr:sp>
    <xdr:clientData/>
  </xdr:twoCellAnchor>
  <xdr:twoCellAnchor>
    <xdr:from>
      <xdr:col>3</xdr:col>
      <xdr:colOff>107951</xdr:colOff>
      <xdr:row>1</xdr:row>
      <xdr:rowOff>95250</xdr:rowOff>
    </xdr:from>
    <xdr:to>
      <xdr:col>6</xdr:col>
      <xdr:colOff>342900</xdr:colOff>
      <xdr:row>7</xdr:row>
      <xdr:rowOff>120650</xdr:rowOff>
    </xdr:to>
    <xdr:sp macro="" textlink="">
      <xdr:nvSpPr>
        <xdr:cNvPr id="6" name="Stregbilledforklaring 2 5">
          <a:extLst>
            <a:ext uri="{FF2B5EF4-FFF2-40B4-BE49-F238E27FC236}">
              <a16:creationId xmlns:a16="http://schemas.microsoft.com/office/drawing/2014/main" id="{FF3DA78C-72ED-4EF4-8615-E6AE536A60E3}"/>
            </a:ext>
          </a:extLst>
        </xdr:cNvPr>
        <xdr:cNvSpPr/>
      </xdr:nvSpPr>
      <xdr:spPr>
        <a:xfrm>
          <a:off x="4730751" y="355600"/>
          <a:ext cx="2228849" cy="1035050"/>
        </a:xfrm>
        <a:prstGeom prst="borderCallout2">
          <a:avLst>
            <a:gd name="adj1" fmla="val 32430"/>
            <a:gd name="adj2" fmla="val -3053"/>
            <a:gd name="adj3" fmla="val 35375"/>
            <a:gd name="adj4" fmla="val -27907"/>
            <a:gd name="adj5" fmla="val 68492"/>
            <a:gd name="adj6" fmla="val -42122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lang="da-DK" sz="1100"/>
            <a:t>Ugentlige arbejdstimer indtastes</a:t>
          </a:r>
          <a:r>
            <a:rPr lang="da-DK" sz="1100" baseline="0"/>
            <a:t> i </a:t>
          </a:r>
          <a:r>
            <a:rPr lang="da-DK" sz="1100" u="sng" baseline="0"/>
            <a:t>hele</a:t>
          </a:r>
          <a:r>
            <a:rPr lang="da-DK" sz="1100" baseline="0"/>
            <a:t> timer. Omregning fra kvote til timer, sker til hele timer efter almindelige afrundingsregler. Se evt. eksempler i arket Kvote-timer.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142874</xdr:colOff>
      <xdr:row>9</xdr:row>
      <xdr:rowOff>34924</xdr:rowOff>
    </xdr:from>
    <xdr:to>
      <xdr:col>6</xdr:col>
      <xdr:colOff>352425</xdr:colOff>
      <xdr:row>16</xdr:row>
      <xdr:rowOff>31750</xdr:rowOff>
    </xdr:to>
    <xdr:sp macro="" textlink="">
      <xdr:nvSpPr>
        <xdr:cNvPr id="2" name="Stregbilledforklaring 2 1">
          <a:extLst>
            <a:ext uri="{FF2B5EF4-FFF2-40B4-BE49-F238E27FC236}">
              <a16:creationId xmlns:a16="http://schemas.microsoft.com/office/drawing/2014/main" id="{A4B372A5-7297-479C-B5C5-39468766064C}"/>
            </a:ext>
          </a:extLst>
        </xdr:cNvPr>
        <xdr:cNvSpPr/>
      </xdr:nvSpPr>
      <xdr:spPr>
        <a:xfrm>
          <a:off x="4765674" y="1698624"/>
          <a:ext cx="2203451" cy="1273176"/>
        </a:xfrm>
        <a:prstGeom prst="borderCallout2">
          <a:avLst>
            <a:gd name="adj1" fmla="val 80251"/>
            <a:gd name="adj2" fmla="val 72"/>
            <a:gd name="adj3" fmla="val 81967"/>
            <a:gd name="adj4" fmla="val -44291"/>
            <a:gd name="adj5" fmla="val 114585"/>
            <a:gd name="adj6" fmla="val -47850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/>
        <a:lstStyle/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 beløb er den tidligere løn omregnet til grundbeløb 31.03.20212.</a:t>
          </a:r>
          <a:endParaRPr lang="da-DK">
            <a:effectLst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grundbeløb er udgangspunkt for den videre beregning.</a:t>
          </a:r>
          <a:endParaRPr lang="da-DK">
            <a:effectLst/>
          </a:endParaRPr>
        </a:p>
      </xdr:txBody>
    </xdr:sp>
    <xdr:clientData/>
  </xdr:twoCellAnchor>
  <xdr:twoCellAnchor>
    <xdr:from>
      <xdr:col>3</xdr:col>
      <xdr:colOff>168274</xdr:colOff>
      <xdr:row>17</xdr:row>
      <xdr:rowOff>66674</xdr:rowOff>
    </xdr:from>
    <xdr:to>
      <xdr:col>6</xdr:col>
      <xdr:colOff>387350</xdr:colOff>
      <xdr:row>23</xdr:row>
      <xdr:rowOff>44468</xdr:rowOff>
    </xdr:to>
    <xdr:sp macro="" textlink="">
      <xdr:nvSpPr>
        <xdr:cNvPr id="3" name="Stregbilledforklaring 2 2">
          <a:extLst>
            <a:ext uri="{FF2B5EF4-FFF2-40B4-BE49-F238E27FC236}">
              <a16:creationId xmlns:a16="http://schemas.microsoft.com/office/drawing/2014/main" id="{65C2D4AA-DCB0-4FF9-8649-CAC617279F33}"/>
            </a:ext>
          </a:extLst>
        </xdr:cNvPr>
        <xdr:cNvSpPr/>
      </xdr:nvSpPr>
      <xdr:spPr>
        <a:xfrm>
          <a:off x="4791074" y="3203574"/>
          <a:ext cx="2212976" cy="1082694"/>
        </a:xfrm>
        <a:prstGeom prst="borderCallout2">
          <a:avLst>
            <a:gd name="adj1" fmla="val 59386"/>
            <a:gd name="adj2" fmla="val -4680"/>
            <a:gd name="adj3" fmla="val 61344"/>
            <a:gd name="adj4" fmla="val -39047"/>
            <a:gd name="adj5" fmla="val 103883"/>
            <a:gd name="adj6" fmla="val -48070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/>
        <a:lstStyle/>
        <a:p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Her angives det basisløntrin (grundbeløb) som den ansatte er berettiget til efter anciennitet (se kolonne J)</a:t>
          </a:r>
        </a:p>
        <a:p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optjenes ½ anciennitet ved ansættelse under 15 timer pr. uge</a:t>
          </a:r>
        </a:p>
      </xdr:txBody>
    </xdr:sp>
    <xdr:clientData/>
  </xdr:twoCellAnchor>
  <xdr:twoCellAnchor>
    <xdr:from>
      <xdr:col>3</xdr:col>
      <xdr:colOff>155574</xdr:colOff>
      <xdr:row>30</xdr:row>
      <xdr:rowOff>190500</xdr:rowOff>
    </xdr:from>
    <xdr:to>
      <xdr:col>6</xdr:col>
      <xdr:colOff>374649</xdr:colOff>
      <xdr:row>39</xdr:row>
      <xdr:rowOff>54004</xdr:rowOff>
    </xdr:to>
    <xdr:sp macro="" textlink="">
      <xdr:nvSpPr>
        <xdr:cNvPr id="4" name="Stregbilledforklaring 2 3">
          <a:extLst>
            <a:ext uri="{FF2B5EF4-FFF2-40B4-BE49-F238E27FC236}">
              <a16:creationId xmlns:a16="http://schemas.microsoft.com/office/drawing/2014/main" id="{82B14D5E-443D-4C4C-AF0E-F3C89823843A}"/>
            </a:ext>
          </a:extLst>
        </xdr:cNvPr>
        <xdr:cNvSpPr/>
      </xdr:nvSpPr>
      <xdr:spPr>
        <a:xfrm>
          <a:off x="4778374" y="5645150"/>
          <a:ext cx="2212975" cy="1457354"/>
        </a:xfrm>
        <a:prstGeom prst="borderCallout2">
          <a:avLst>
            <a:gd name="adj1" fmla="val 56702"/>
            <a:gd name="adj2" fmla="val -1752"/>
            <a:gd name="adj3" fmla="val 63906"/>
            <a:gd name="adj4" fmla="val -34523"/>
            <a:gd name="adj5" fmla="val 104503"/>
            <a:gd name="adj6" fmla="val -46124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lang="da-DK" sz="1100" baseline="0"/>
            <a:t>Hvis dette felt indeholder et beløb skal værdien indberettes som udligningstillæg.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 evt. udligningstillæg skal anføres i ansættelsesbeviset under punktet "Øvrige væsentlige vilkår for stillingen.</a:t>
          </a:r>
          <a:endParaRPr lang="da-DK">
            <a:effectLst/>
          </a:endParaRPr>
        </a:p>
      </xdr:txBody>
    </xdr:sp>
    <xdr:clientData/>
  </xdr:twoCellAnchor>
  <xdr:twoCellAnchor>
    <xdr:from>
      <xdr:col>3</xdr:col>
      <xdr:colOff>168275</xdr:colOff>
      <xdr:row>24</xdr:row>
      <xdr:rowOff>50800</xdr:rowOff>
    </xdr:from>
    <xdr:to>
      <xdr:col>6</xdr:col>
      <xdr:colOff>368300</xdr:colOff>
      <xdr:row>29</xdr:row>
      <xdr:rowOff>107950</xdr:rowOff>
    </xdr:to>
    <xdr:sp macro="" textlink="">
      <xdr:nvSpPr>
        <xdr:cNvPr id="5" name="Stregbilledforklaring 2 4">
          <a:extLst>
            <a:ext uri="{FF2B5EF4-FFF2-40B4-BE49-F238E27FC236}">
              <a16:creationId xmlns:a16="http://schemas.microsoft.com/office/drawing/2014/main" id="{2D61F827-106E-4891-A894-24E33C283D95}"/>
            </a:ext>
          </a:extLst>
        </xdr:cNvPr>
        <xdr:cNvSpPr/>
      </xdr:nvSpPr>
      <xdr:spPr>
        <a:xfrm>
          <a:off x="4791075" y="4489450"/>
          <a:ext cx="2193925" cy="958850"/>
        </a:xfrm>
        <a:prstGeom prst="borderCallout2">
          <a:avLst>
            <a:gd name="adj1" fmla="val 45565"/>
            <a:gd name="adj2" fmla="val -1105"/>
            <a:gd name="adj3" fmla="val 35401"/>
            <a:gd name="adj4" fmla="val -38978"/>
            <a:gd name="adj5" fmla="val 3923"/>
            <a:gd name="adj6" fmla="val -47581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lang="da-DK" sz="1100" baseline="0"/>
            <a:t>For KMOK organister afhænger rådighedstillægget af det antal kirker organisten betjener, jf.protokollatets §5,stk. 2.</a:t>
          </a:r>
        </a:p>
        <a:p>
          <a:pPr algn="l"/>
          <a:endParaRPr lang="da-DK" sz="1100" baseline="0"/>
        </a:p>
      </xdr:txBody>
    </xdr:sp>
    <xdr:clientData/>
  </xdr:twoCellAnchor>
  <xdr:twoCellAnchor>
    <xdr:from>
      <xdr:col>3</xdr:col>
      <xdr:colOff>133351</xdr:colOff>
      <xdr:row>1</xdr:row>
      <xdr:rowOff>95250</xdr:rowOff>
    </xdr:from>
    <xdr:to>
      <xdr:col>6</xdr:col>
      <xdr:colOff>368300</xdr:colOff>
      <xdr:row>7</xdr:row>
      <xdr:rowOff>171450</xdr:rowOff>
    </xdr:to>
    <xdr:sp macro="" textlink="">
      <xdr:nvSpPr>
        <xdr:cNvPr id="6" name="Stregbilledforklaring 2 5">
          <a:extLst>
            <a:ext uri="{FF2B5EF4-FFF2-40B4-BE49-F238E27FC236}">
              <a16:creationId xmlns:a16="http://schemas.microsoft.com/office/drawing/2014/main" id="{3E2A58AF-654B-4888-B645-E38581638361}"/>
            </a:ext>
          </a:extLst>
        </xdr:cNvPr>
        <xdr:cNvSpPr/>
      </xdr:nvSpPr>
      <xdr:spPr>
        <a:xfrm>
          <a:off x="4756151" y="355600"/>
          <a:ext cx="2228849" cy="1085850"/>
        </a:xfrm>
        <a:prstGeom prst="borderCallout2">
          <a:avLst>
            <a:gd name="adj1" fmla="val 32430"/>
            <a:gd name="adj2" fmla="val -3053"/>
            <a:gd name="adj3" fmla="val 35375"/>
            <a:gd name="adj4" fmla="val -27907"/>
            <a:gd name="adj5" fmla="val 68492"/>
            <a:gd name="adj6" fmla="val -42122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lang="da-DK" sz="1100"/>
            <a:t>Ugentlige arbejdstimer indtastes</a:t>
          </a:r>
          <a:r>
            <a:rPr lang="da-DK" sz="1100" baseline="0"/>
            <a:t> i </a:t>
          </a:r>
          <a:r>
            <a:rPr lang="da-DK" sz="1100" u="sng" baseline="0"/>
            <a:t>hele</a:t>
          </a:r>
          <a:r>
            <a:rPr lang="da-DK" sz="1100" baseline="0"/>
            <a:t> timer. Omregning fra kvote til timer, sker til hele timer efter almindelige afrundingsregler. Se evt. eksempler eller beregn i arket Kvote-timer.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180976</xdr:rowOff>
    </xdr:from>
    <xdr:to>
      <xdr:col>6</xdr:col>
      <xdr:colOff>600075</xdr:colOff>
      <xdr:row>2</xdr:row>
      <xdr:rowOff>161926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8AF725EE-EDDB-4E18-B1E0-78C64AC5DA10}"/>
            </a:ext>
          </a:extLst>
        </xdr:cNvPr>
        <xdr:cNvSpPr txBox="1"/>
      </xdr:nvSpPr>
      <xdr:spPr>
        <a:xfrm>
          <a:off x="4695825" y="180976"/>
          <a:ext cx="1828800" cy="34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Indtast kun i ét af felterne</a:t>
          </a:r>
        </a:p>
      </xdr:txBody>
    </xdr:sp>
    <xdr:clientData/>
  </xdr:twoCellAnchor>
  <xdr:twoCellAnchor>
    <xdr:from>
      <xdr:col>2</xdr:col>
      <xdr:colOff>600075</xdr:colOff>
      <xdr:row>1</xdr:row>
      <xdr:rowOff>171451</xdr:rowOff>
    </xdr:from>
    <xdr:to>
      <xdr:col>3</xdr:col>
      <xdr:colOff>600075</xdr:colOff>
      <xdr:row>4</xdr:row>
      <xdr:rowOff>123825</xdr:rowOff>
    </xdr:to>
    <xdr:cxnSp macro="">
      <xdr:nvCxnSpPr>
        <xdr:cNvPr id="3" name="Lige pilforbindelse 2">
          <a:extLst>
            <a:ext uri="{FF2B5EF4-FFF2-40B4-BE49-F238E27FC236}">
              <a16:creationId xmlns:a16="http://schemas.microsoft.com/office/drawing/2014/main" id="{A6F4AE7F-6784-44E2-BB1E-6DA7DF0F3A82}"/>
            </a:ext>
          </a:extLst>
        </xdr:cNvPr>
        <xdr:cNvCxnSpPr>
          <a:stCxn id="2" idx="1"/>
        </xdr:cNvCxnSpPr>
      </xdr:nvCxnSpPr>
      <xdr:spPr>
        <a:xfrm flipH="1">
          <a:off x="3825875" y="355601"/>
          <a:ext cx="869950" cy="504824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485776</xdr:colOff>
      <xdr:row>15</xdr:row>
      <xdr:rowOff>47626</xdr:rowOff>
    </xdr:from>
    <xdr:to>
      <xdr:col>6</xdr:col>
      <xdr:colOff>466726</xdr:colOff>
      <xdr:row>16</xdr:row>
      <xdr:rowOff>161926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D141CFD6-BE4B-43AE-8F59-2666DA26E826}"/>
            </a:ext>
          </a:extLst>
        </xdr:cNvPr>
        <xdr:cNvSpPr txBox="1"/>
      </xdr:nvSpPr>
      <xdr:spPr>
        <a:xfrm>
          <a:off x="4581526" y="2809876"/>
          <a:ext cx="1809750" cy="298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begge</a:t>
          </a:r>
          <a:r>
            <a:rPr lang="da-DK" sz="1100" baseline="0"/>
            <a:t> felter skal udfyldes</a:t>
          </a:r>
          <a:endParaRPr lang="da-DK" sz="1100"/>
        </a:p>
      </xdr:txBody>
    </xdr:sp>
    <xdr:clientData/>
  </xdr:twoCellAnchor>
  <xdr:twoCellAnchor>
    <xdr:from>
      <xdr:col>3</xdr:col>
      <xdr:colOff>47625</xdr:colOff>
      <xdr:row>15</xdr:row>
      <xdr:rowOff>114300</xdr:rowOff>
    </xdr:from>
    <xdr:to>
      <xdr:col>3</xdr:col>
      <xdr:colOff>390525</xdr:colOff>
      <xdr:row>16</xdr:row>
      <xdr:rowOff>47625</xdr:rowOff>
    </xdr:to>
    <xdr:cxnSp macro="">
      <xdr:nvCxnSpPr>
        <xdr:cNvPr id="5" name="Lige pilforbindelse 4">
          <a:extLst>
            <a:ext uri="{FF2B5EF4-FFF2-40B4-BE49-F238E27FC236}">
              <a16:creationId xmlns:a16="http://schemas.microsoft.com/office/drawing/2014/main" id="{4697F1CA-4918-4193-A0CD-BED603A4D95C}"/>
            </a:ext>
          </a:extLst>
        </xdr:cNvPr>
        <xdr:cNvCxnSpPr/>
      </xdr:nvCxnSpPr>
      <xdr:spPr>
        <a:xfrm flipH="1">
          <a:off x="4143375" y="2876550"/>
          <a:ext cx="342900" cy="117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604CF-8A25-4481-B8FD-382FD6362ED9}">
  <dimension ref="I48"/>
  <sheetViews>
    <sheetView tabSelected="1" workbookViewId="0">
      <selection activeCell="J2" sqref="J2"/>
    </sheetView>
  </sheetViews>
  <sheetFormatPr defaultRowHeight="15.5" x14ac:dyDescent="0.35"/>
  <sheetData>
    <row r="48" spans="9:9" x14ac:dyDescent="0.35">
      <c r="I48" s="60" t="s">
        <v>95</v>
      </c>
    </row>
  </sheetData>
  <sheetProtection algorithmName="SHA-512" hashValue="OM3EnFwOHQNfZY1d0yMq9o4H6Xc1iCSF8w/AHCwowCAwq2gN3pPxRQIu/OCXPHb5BHPWB86gsljRAxO+l6du1g==" saltValue="06qdKtleDQKoTshKdtrj5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913F7-88FC-4B05-AD78-3D54640496DE}">
  <dimension ref="A1:L38"/>
  <sheetViews>
    <sheetView workbookViewId="0">
      <selection activeCell="A3" sqref="A3"/>
    </sheetView>
  </sheetViews>
  <sheetFormatPr defaultRowHeight="15.5" x14ac:dyDescent="0.35"/>
  <cols>
    <col min="1" max="1" width="37.08203125" customWidth="1"/>
    <col min="2" max="2" width="12" customWidth="1"/>
    <col min="3" max="3" width="11.58203125" customWidth="1"/>
    <col min="5" max="5" width="8.83203125" customWidth="1"/>
    <col min="7" max="7" width="5.58203125" customWidth="1"/>
    <col min="8" max="8" width="8.58203125" customWidth="1"/>
    <col min="11" max="11" width="11.75" customWidth="1"/>
    <col min="12" max="12" width="4.4140625" customWidth="1"/>
    <col min="257" max="257" width="37.08203125" customWidth="1"/>
    <col min="258" max="258" width="12" customWidth="1"/>
    <col min="259" max="259" width="11.58203125" customWidth="1"/>
    <col min="261" max="261" width="8.83203125" customWidth="1"/>
    <col min="263" max="263" width="5.58203125" customWidth="1"/>
    <col min="264" max="264" width="8.58203125" customWidth="1"/>
    <col min="267" max="267" width="11.75" customWidth="1"/>
    <col min="513" max="513" width="37.08203125" customWidth="1"/>
    <col min="514" max="514" width="12" customWidth="1"/>
    <col min="515" max="515" width="11.58203125" customWidth="1"/>
    <col min="517" max="517" width="8.83203125" customWidth="1"/>
    <col min="519" max="519" width="5.58203125" customWidth="1"/>
    <col min="520" max="520" width="8.58203125" customWidth="1"/>
    <col min="523" max="523" width="11.75" customWidth="1"/>
    <col min="769" max="769" width="37.08203125" customWidth="1"/>
    <col min="770" max="770" width="12" customWidth="1"/>
    <col min="771" max="771" width="11.58203125" customWidth="1"/>
    <col min="773" max="773" width="8.83203125" customWidth="1"/>
    <col min="775" max="775" width="5.58203125" customWidth="1"/>
    <col min="776" max="776" width="8.58203125" customWidth="1"/>
    <col min="779" max="779" width="11.75" customWidth="1"/>
    <col min="1025" max="1025" width="37.08203125" customWidth="1"/>
    <col min="1026" max="1026" width="12" customWidth="1"/>
    <col min="1027" max="1027" width="11.58203125" customWidth="1"/>
    <col min="1029" max="1029" width="8.83203125" customWidth="1"/>
    <col min="1031" max="1031" width="5.58203125" customWidth="1"/>
    <col min="1032" max="1032" width="8.58203125" customWidth="1"/>
    <col min="1035" max="1035" width="11.75" customWidth="1"/>
    <col min="1281" max="1281" width="37.08203125" customWidth="1"/>
    <col min="1282" max="1282" width="12" customWidth="1"/>
    <col min="1283" max="1283" width="11.58203125" customWidth="1"/>
    <col min="1285" max="1285" width="8.83203125" customWidth="1"/>
    <col min="1287" max="1287" width="5.58203125" customWidth="1"/>
    <col min="1288" max="1288" width="8.58203125" customWidth="1"/>
    <col min="1291" max="1291" width="11.75" customWidth="1"/>
    <col min="1537" max="1537" width="37.08203125" customWidth="1"/>
    <col min="1538" max="1538" width="12" customWidth="1"/>
    <col min="1539" max="1539" width="11.58203125" customWidth="1"/>
    <col min="1541" max="1541" width="8.83203125" customWidth="1"/>
    <col min="1543" max="1543" width="5.58203125" customWidth="1"/>
    <col min="1544" max="1544" width="8.58203125" customWidth="1"/>
    <col min="1547" max="1547" width="11.75" customWidth="1"/>
    <col min="1793" max="1793" width="37.08203125" customWidth="1"/>
    <col min="1794" max="1794" width="12" customWidth="1"/>
    <col min="1795" max="1795" width="11.58203125" customWidth="1"/>
    <col min="1797" max="1797" width="8.83203125" customWidth="1"/>
    <col min="1799" max="1799" width="5.58203125" customWidth="1"/>
    <col min="1800" max="1800" width="8.58203125" customWidth="1"/>
    <col min="1803" max="1803" width="11.75" customWidth="1"/>
    <col min="2049" max="2049" width="37.08203125" customWidth="1"/>
    <col min="2050" max="2050" width="12" customWidth="1"/>
    <col min="2051" max="2051" width="11.58203125" customWidth="1"/>
    <col min="2053" max="2053" width="8.83203125" customWidth="1"/>
    <col min="2055" max="2055" width="5.58203125" customWidth="1"/>
    <col min="2056" max="2056" width="8.58203125" customWidth="1"/>
    <col min="2059" max="2059" width="11.75" customWidth="1"/>
    <col min="2305" max="2305" width="37.08203125" customWidth="1"/>
    <col min="2306" max="2306" width="12" customWidth="1"/>
    <col min="2307" max="2307" width="11.58203125" customWidth="1"/>
    <col min="2309" max="2309" width="8.83203125" customWidth="1"/>
    <col min="2311" max="2311" width="5.58203125" customWidth="1"/>
    <col min="2312" max="2312" width="8.58203125" customWidth="1"/>
    <col min="2315" max="2315" width="11.75" customWidth="1"/>
    <col min="2561" max="2561" width="37.08203125" customWidth="1"/>
    <col min="2562" max="2562" width="12" customWidth="1"/>
    <col min="2563" max="2563" width="11.58203125" customWidth="1"/>
    <col min="2565" max="2565" width="8.83203125" customWidth="1"/>
    <col min="2567" max="2567" width="5.58203125" customWidth="1"/>
    <col min="2568" max="2568" width="8.58203125" customWidth="1"/>
    <col min="2571" max="2571" width="11.75" customWidth="1"/>
    <col min="2817" max="2817" width="37.08203125" customWidth="1"/>
    <col min="2818" max="2818" width="12" customWidth="1"/>
    <col min="2819" max="2819" width="11.58203125" customWidth="1"/>
    <col min="2821" max="2821" width="8.83203125" customWidth="1"/>
    <col min="2823" max="2823" width="5.58203125" customWidth="1"/>
    <col min="2824" max="2824" width="8.58203125" customWidth="1"/>
    <col min="2827" max="2827" width="11.75" customWidth="1"/>
    <col min="3073" max="3073" width="37.08203125" customWidth="1"/>
    <col min="3074" max="3074" width="12" customWidth="1"/>
    <col min="3075" max="3075" width="11.58203125" customWidth="1"/>
    <col min="3077" max="3077" width="8.83203125" customWidth="1"/>
    <col min="3079" max="3079" width="5.58203125" customWidth="1"/>
    <col min="3080" max="3080" width="8.58203125" customWidth="1"/>
    <col min="3083" max="3083" width="11.75" customWidth="1"/>
    <col min="3329" max="3329" width="37.08203125" customWidth="1"/>
    <col min="3330" max="3330" width="12" customWidth="1"/>
    <col min="3331" max="3331" width="11.58203125" customWidth="1"/>
    <col min="3333" max="3333" width="8.83203125" customWidth="1"/>
    <col min="3335" max="3335" width="5.58203125" customWidth="1"/>
    <col min="3336" max="3336" width="8.58203125" customWidth="1"/>
    <col min="3339" max="3339" width="11.75" customWidth="1"/>
    <col min="3585" max="3585" width="37.08203125" customWidth="1"/>
    <col min="3586" max="3586" width="12" customWidth="1"/>
    <col min="3587" max="3587" width="11.58203125" customWidth="1"/>
    <col min="3589" max="3589" width="8.83203125" customWidth="1"/>
    <col min="3591" max="3591" width="5.58203125" customWidth="1"/>
    <col min="3592" max="3592" width="8.58203125" customWidth="1"/>
    <col min="3595" max="3595" width="11.75" customWidth="1"/>
    <col min="3841" max="3841" width="37.08203125" customWidth="1"/>
    <col min="3842" max="3842" width="12" customWidth="1"/>
    <col min="3843" max="3843" width="11.58203125" customWidth="1"/>
    <col min="3845" max="3845" width="8.83203125" customWidth="1"/>
    <col min="3847" max="3847" width="5.58203125" customWidth="1"/>
    <col min="3848" max="3848" width="8.58203125" customWidth="1"/>
    <col min="3851" max="3851" width="11.75" customWidth="1"/>
    <col min="4097" max="4097" width="37.08203125" customWidth="1"/>
    <col min="4098" max="4098" width="12" customWidth="1"/>
    <col min="4099" max="4099" width="11.58203125" customWidth="1"/>
    <col min="4101" max="4101" width="8.83203125" customWidth="1"/>
    <col min="4103" max="4103" width="5.58203125" customWidth="1"/>
    <col min="4104" max="4104" width="8.58203125" customWidth="1"/>
    <col min="4107" max="4107" width="11.75" customWidth="1"/>
    <col min="4353" max="4353" width="37.08203125" customWidth="1"/>
    <col min="4354" max="4354" width="12" customWidth="1"/>
    <col min="4355" max="4355" width="11.58203125" customWidth="1"/>
    <col min="4357" max="4357" width="8.83203125" customWidth="1"/>
    <col min="4359" max="4359" width="5.58203125" customWidth="1"/>
    <col min="4360" max="4360" width="8.58203125" customWidth="1"/>
    <col min="4363" max="4363" width="11.75" customWidth="1"/>
    <col min="4609" max="4609" width="37.08203125" customWidth="1"/>
    <col min="4610" max="4610" width="12" customWidth="1"/>
    <col min="4611" max="4611" width="11.58203125" customWidth="1"/>
    <col min="4613" max="4613" width="8.83203125" customWidth="1"/>
    <col min="4615" max="4615" width="5.58203125" customWidth="1"/>
    <col min="4616" max="4616" width="8.58203125" customWidth="1"/>
    <col min="4619" max="4619" width="11.75" customWidth="1"/>
    <col min="4865" max="4865" width="37.08203125" customWidth="1"/>
    <col min="4866" max="4866" width="12" customWidth="1"/>
    <col min="4867" max="4867" width="11.58203125" customWidth="1"/>
    <col min="4869" max="4869" width="8.83203125" customWidth="1"/>
    <col min="4871" max="4871" width="5.58203125" customWidth="1"/>
    <col min="4872" max="4872" width="8.58203125" customWidth="1"/>
    <col min="4875" max="4875" width="11.75" customWidth="1"/>
    <col min="5121" max="5121" width="37.08203125" customWidth="1"/>
    <col min="5122" max="5122" width="12" customWidth="1"/>
    <col min="5123" max="5123" width="11.58203125" customWidth="1"/>
    <col min="5125" max="5125" width="8.83203125" customWidth="1"/>
    <col min="5127" max="5127" width="5.58203125" customWidth="1"/>
    <col min="5128" max="5128" width="8.58203125" customWidth="1"/>
    <col min="5131" max="5131" width="11.75" customWidth="1"/>
    <col min="5377" max="5377" width="37.08203125" customWidth="1"/>
    <col min="5378" max="5378" width="12" customWidth="1"/>
    <col min="5379" max="5379" width="11.58203125" customWidth="1"/>
    <col min="5381" max="5381" width="8.83203125" customWidth="1"/>
    <col min="5383" max="5383" width="5.58203125" customWidth="1"/>
    <col min="5384" max="5384" width="8.58203125" customWidth="1"/>
    <col min="5387" max="5387" width="11.75" customWidth="1"/>
    <col min="5633" max="5633" width="37.08203125" customWidth="1"/>
    <col min="5634" max="5634" width="12" customWidth="1"/>
    <col min="5635" max="5635" width="11.58203125" customWidth="1"/>
    <col min="5637" max="5637" width="8.83203125" customWidth="1"/>
    <col min="5639" max="5639" width="5.58203125" customWidth="1"/>
    <col min="5640" max="5640" width="8.58203125" customWidth="1"/>
    <col min="5643" max="5643" width="11.75" customWidth="1"/>
    <col min="5889" max="5889" width="37.08203125" customWidth="1"/>
    <col min="5890" max="5890" width="12" customWidth="1"/>
    <col min="5891" max="5891" width="11.58203125" customWidth="1"/>
    <col min="5893" max="5893" width="8.83203125" customWidth="1"/>
    <col min="5895" max="5895" width="5.58203125" customWidth="1"/>
    <col min="5896" max="5896" width="8.58203125" customWidth="1"/>
    <col min="5899" max="5899" width="11.75" customWidth="1"/>
    <col min="6145" max="6145" width="37.08203125" customWidth="1"/>
    <col min="6146" max="6146" width="12" customWidth="1"/>
    <col min="6147" max="6147" width="11.58203125" customWidth="1"/>
    <col min="6149" max="6149" width="8.83203125" customWidth="1"/>
    <col min="6151" max="6151" width="5.58203125" customWidth="1"/>
    <col min="6152" max="6152" width="8.58203125" customWidth="1"/>
    <col min="6155" max="6155" width="11.75" customWidth="1"/>
    <col min="6401" max="6401" width="37.08203125" customWidth="1"/>
    <col min="6402" max="6402" width="12" customWidth="1"/>
    <col min="6403" max="6403" width="11.58203125" customWidth="1"/>
    <col min="6405" max="6405" width="8.83203125" customWidth="1"/>
    <col min="6407" max="6407" width="5.58203125" customWidth="1"/>
    <col min="6408" max="6408" width="8.58203125" customWidth="1"/>
    <col min="6411" max="6411" width="11.75" customWidth="1"/>
    <col min="6657" max="6657" width="37.08203125" customWidth="1"/>
    <col min="6658" max="6658" width="12" customWidth="1"/>
    <col min="6659" max="6659" width="11.58203125" customWidth="1"/>
    <col min="6661" max="6661" width="8.83203125" customWidth="1"/>
    <col min="6663" max="6663" width="5.58203125" customWidth="1"/>
    <col min="6664" max="6664" width="8.58203125" customWidth="1"/>
    <col min="6667" max="6667" width="11.75" customWidth="1"/>
    <col min="6913" max="6913" width="37.08203125" customWidth="1"/>
    <col min="6914" max="6914" width="12" customWidth="1"/>
    <col min="6915" max="6915" width="11.58203125" customWidth="1"/>
    <col min="6917" max="6917" width="8.83203125" customWidth="1"/>
    <col min="6919" max="6919" width="5.58203125" customWidth="1"/>
    <col min="6920" max="6920" width="8.58203125" customWidth="1"/>
    <col min="6923" max="6923" width="11.75" customWidth="1"/>
    <col min="7169" max="7169" width="37.08203125" customWidth="1"/>
    <col min="7170" max="7170" width="12" customWidth="1"/>
    <col min="7171" max="7171" width="11.58203125" customWidth="1"/>
    <col min="7173" max="7173" width="8.83203125" customWidth="1"/>
    <col min="7175" max="7175" width="5.58203125" customWidth="1"/>
    <col min="7176" max="7176" width="8.58203125" customWidth="1"/>
    <col min="7179" max="7179" width="11.75" customWidth="1"/>
    <col min="7425" max="7425" width="37.08203125" customWidth="1"/>
    <col min="7426" max="7426" width="12" customWidth="1"/>
    <col min="7427" max="7427" width="11.58203125" customWidth="1"/>
    <col min="7429" max="7429" width="8.83203125" customWidth="1"/>
    <col min="7431" max="7431" width="5.58203125" customWidth="1"/>
    <col min="7432" max="7432" width="8.58203125" customWidth="1"/>
    <col min="7435" max="7435" width="11.75" customWidth="1"/>
    <col min="7681" max="7681" width="37.08203125" customWidth="1"/>
    <col min="7682" max="7682" width="12" customWidth="1"/>
    <col min="7683" max="7683" width="11.58203125" customWidth="1"/>
    <col min="7685" max="7685" width="8.83203125" customWidth="1"/>
    <col min="7687" max="7687" width="5.58203125" customWidth="1"/>
    <col min="7688" max="7688" width="8.58203125" customWidth="1"/>
    <col min="7691" max="7691" width="11.75" customWidth="1"/>
    <col min="7937" max="7937" width="37.08203125" customWidth="1"/>
    <col min="7938" max="7938" width="12" customWidth="1"/>
    <col min="7939" max="7939" width="11.58203125" customWidth="1"/>
    <col min="7941" max="7941" width="8.83203125" customWidth="1"/>
    <col min="7943" max="7943" width="5.58203125" customWidth="1"/>
    <col min="7944" max="7944" width="8.58203125" customWidth="1"/>
    <col min="7947" max="7947" width="11.75" customWidth="1"/>
    <col min="8193" max="8193" width="37.08203125" customWidth="1"/>
    <col min="8194" max="8194" width="12" customWidth="1"/>
    <col min="8195" max="8195" width="11.58203125" customWidth="1"/>
    <col min="8197" max="8197" width="8.83203125" customWidth="1"/>
    <col min="8199" max="8199" width="5.58203125" customWidth="1"/>
    <col min="8200" max="8200" width="8.58203125" customWidth="1"/>
    <col min="8203" max="8203" width="11.75" customWidth="1"/>
    <col min="8449" max="8449" width="37.08203125" customWidth="1"/>
    <col min="8450" max="8450" width="12" customWidth="1"/>
    <col min="8451" max="8451" width="11.58203125" customWidth="1"/>
    <col min="8453" max="8453" width="8.83203125" customWidth="1"/>
    <col min="8455" max="8455" width="5.58203125" customWidth="1"/>
    <col min="8456" max="8456" width="8.58203125" customWidth="1"/>
    <col min="8459" max="8459" width="11.75" customWidth="1"/>
    <col min="8705" max="8705" width="37.08203125" customWidth="1"/>
    <col min="8706" max="8706" width="12" customWidth="1"/>
    <col min="8707" max="8707" width="11.58203125" customWidth="1"/>
    <col min="8709" max="8709" width="8.83203125" customWidth="1"/>
    <col min="8711" max="8711" width="5.58203125" customWidth="1"/>
    <col min="8712" max="8712" width="8.58203125" customWidth="1"/>
    <col min="8715" max="8715" width="11.75" customWidth="1"/>
    <col min="8961" max="8961" width="37.08203125" customWidth="1"/>
    <col min="8962" max="8962" width="12" customWidth="1"/>
    <col min="8963" max="8963" width="11.58203125" customWidth="1"/>
    <col min="8965" max="8965" width="8.83203125" customWidth="1"/>
    <col min="8967" max="8967" width="5.58203125" customWidth="1"/>
    <col min="8968" max="8968" width="8.58203125" customWidth="1"/>
    <col min="8971" max="8971" width="11.75" customWidth="1"/>
    <col min="9217" max="9217" width="37.08203125" customWidth="1"/>
    <col min="9218" max="9218" width="12" customWidth="1"/>
    <col min="9219" max="9219" width="11.58203125" customWidth="1"/>
    <col min="9221" max="9221" width="8.83203125" customWidth="1"/>
    <col min="9223" max="9223" width="5.58203125" customWidth="1"/>
    <col min="9224" max="9224" width="8.58203125" customWidth="1"/>
    <col min="9227" max="9227" width="11.75" customWidth="1"/>
    <col min="9473" max="9473" width="37.08203125" customWidth="1"/>
    <col min="9474" max="9474" width="12" customWidth="1"/>
    <col min="9475" max="9475" width="11.58203125" customWidth="1"/>
    <col min="9477" max="9477" width="8.83203125" customWidth="1"/>
    <col min="9479" max="9479" width="5.58203125" customWidth="1"/>
    <col min="9480" max="9480" width="8.58203125" customWidth="1"/>
    <col min="9483" max="9483" width="11.75" customWidth="1"/>
    <col min="9729" max="9729" width="37.08203125" customWidth="1"/>
    <col min="9730" max="9730" width="12" customWidth="1"/>
    <col min="9731" max="9731" width="11.58203125" customWidth="1"/>
    <col min="9733" max="9733" width="8.83203125" customWidth="1"/>
    <col min="9735" max="9735" width="5.58203125" customWidth="1"/>
    <col min="9736" max="9736" width="8.58203125" customWidth="1"/>
    <col min="9739" max="9739" width="11.75" customWidth="1"/>
    <col min="9985" max="9985" width="37.08203125" customWidth="1"/>
    <col min="9986" max="9986" width="12" customWidth="1"/>
    <col min="9987" max="9987" width="11.58203125" customWidth="1"/>
    <col min="9989" max="9989" width="8.83203125" customWidth="1"/>
    <col min="9991" max="9991" width="5.58203125" customWidth="1"/>
    <col min="9992" max="9992" width="8.58203125" customWidth="1"/>
    <col min="9995" max="9995" width="11.75" customWidth="1"/>
    <col min="10241" max="10241" width="37.08203125" customWidth="1"/>
    <col min="10242" max="10242" width="12" customWidth="1"/>
    <col min="10243" max="10243" width="11.58203125" customWidth="1"/>
    <col min="10245" max="10245" width="8.83203125" customWidth="1"/>
    <col min="10247" max="10247" width="5.58203125" customWidth="1"/>
    <col min="10248" max="10248" width="8.58203125" customWidth="1"/>
    <col min="10251" max="10251" width="11.75" customWidth="1"/>
    <col min="10497" max="10497" width="37.08203125" customWidth="1"/>
    <col min="10498" max="10498" width="12" customWidth="1"/>
    <col min="10499" max="10499" width="11.58203125" customWidth="1"/>
    <col min="10501" max="10501" width="8.83203125" customWidth="1"/>
    <col min="10503" max="10503" width="5.58203125" customWidth="1"/>
    <col min="10504" max="10504" width="8.58203125" customWidth="1"/>
    <col min="10507" max="10507" width="11.75" customWidth="1"/>
    <col min="10753" max="10753" width="37.08203125" customWidth="1"/>
    <col min="10754" max="10754" width="12" customWidth="1"/>
    <col min="10755" max="10755" width="11.58203125" customWidth="1"/>
    <col min="10757" max="10757" width="8.83203125" customWidth="1"/>
    <col min="10759" max="10759" width="5.58203125" customWidth="1"/>
    <col min="10760" max="10760" width="8.58203125" customWidth="1"/>
    <col min="10763" max="10763" width="11.75" customWidth="1"/>
    <col min="11009" max="11009" width="37.08203125" customWidth="1"/>
    <col min="11010" max="11010" width="12" customWidth="1"/>
    <col min="11011" max="11011" width="11.58203125" customWidth="1"/>
    <col min="11013" max="11013" width="8.83203125" customWidth="1"/>
    <col min="11015" max="11015" width="5.58203125" customWidth="1"/>
    <col min="11016" max="11016" width="8.58203125" customWidth="1"/>
    <col min="11019" max="11019" width="11.75" customWidth="1"/>
    <col min="11265" max="11265" width="37.08203125" customWidth="1"/>
    <col min="11266" max="11266" width="12" customWidth="1"/>
    <col min="11267" max="11267" width="11.58203125" customWidth="1"/>
    <col min="11269" max="11269" width="8.83203125" customWidth="1"/>
    <col min="11271" max="11271" width="5.58203125" customWidth="1"/>
    <col min="11272" max="11272" width="8.58203125" customWidth="1"/>
    <col min="11275" max="11275" width="11.75" customWidth="1"/>
    <col min="11521" max="11521" width="37.08203125" customWidth="1"/>
    <col min="11522" max="11522" width="12" customWidth="1"/>
    <col min="11523" max="11523" width="11.58203125" customWidth="1"/>
    <col min="11525" max="11525" width="8.83203125" customWidth="1"/>
    <col min="11527" max="11527" width="5.58203125" customWidth="1"/>
    <col min="11528" max="11528" width="8.58203125" customWidth="1"/>
    <col min="11531" max="11531" width="11.75" customWidth="1"/>
    <col min="11777" max="11777" width="37.08203125" customWidth="1"/>
    <col min="11778" max="11778" width="12" customWidth="1"/>
    <col min="11779" max="11779" width="11.58203125" customWidth="1"/>
    <col min="11781" max="11781" width="8.83203125" customWidth="1"/>
    <col min="11783" max="11783" width="5.58203125" customWidth="1"/>
    <col min="11784" max="11784" width="8.58203125" customWidth="1"/>
    <col min="11787" max="11787" width="11.75" customWidth="1"/>
    <col min="12033" max="12033" width="37.08203125" customWidth="1"/>
    <col min="12034" max="12034" width="12" customWidth="1"/>
    <col min="12035" max="12035" width="11.58203125" customWidth="1"/>
    <col min="12037" max="12037" width="8.83203125" customWidth="1"/>
    <col min="12039" max="12039" width="5.58203125" customWidth="1"/>
    <col min="12040" max="12040" width="8.58203125" customWidth="1"/>
    <col min="12043" max="12043" width="11.75" customWidth="1"/>
    <col min="12289" max="12289" width="37.08203125" customWidth="1"/>
    <col min="12290" max="12290" width="12" customWidth="1"/>
    <col min="12291" max="12291" width="11.58203125" customWidth="1"/>
    <col min="12293" max="12293" width="8.83203125" customWidth="1"/>
    <col min="12295" max="12295" width="5.58203125" customWidth="1"/>
    <col min="12296" max="12296" width="8.58203125" customWidth="1"/>
    <col min="12299" max="12299" width="11.75" customWidth="1"/>
    <col min="12545" max="12545" width="37.08203125" customWidth="1"/>
    <col min="12546" max="12546" width="12" customWidth="1"/>
    <col min="12547" max="12547" width="11.58203125" customWidth="1"/>
    <col min="12549" max="12549" width="8.83203125" customWidth="1"/>
    <col min="12551" max="12551" width="5.58203125" customWidth="1"/>
    <col min="12552" max="12552" width="8.58203125" customWidth="1"/>
    <col min="12555" max="12555" width="11.75" customWidth="1"/>
    <col min="12801" max="12801" width="37.08203125" customWidth="1"/>
    <col min="12802" max="12802" width="12" customWidth="1"/>
    <col min="12803" max="12803" width="11.58203125" customWidth="1"/>
    <col min="12805" max="12805" width="8.83203125" customWidth="1"/>
    <col min="12807" max="12807" width="5.58203125" customWidth="1"/>
    <col min="12808" max="12808" width="8.58203125" customWidth="1"/>
    <col min="12811" max="12811" width="11.75" customWidth="1"/>
    <col min="13057" max="13057" width="37.08203125" customWidth="1"/>
    <col min="13058" max="13058" width="12" customWidth="1"/>
    <col min="13059" max="13059" width="11.58203125" customWidth="1"/>
    <col min="13061" max="13061" width="8.83203125" customWidth="1"/>
    <col min="13063" max="13063" width="5.58203125" customWidth="1"/>
    <col min="13064" max="13064" width="8.58203125" customWidth="1"/>
    <col min="13067" max="13067" width="11.75" customWidth="1"/>
    <col min="13313" max="13313" width="37.08203125" customWidth="1"/>
    <col min="13314" max="13314" width="12" customWidth="1"/>
    <col min="13315" max="13315" width="11.58203125" customWidth="1"/>
    <col min="13317" max="13317" width="8.83203125" customWidth="1"/>
    <col min="13319" max="13319" width="5.58203125" customWidth="1"/>
    <col min="13320" max="13320" width="8.58203125" customWidth="1"/>
    <col min="13323" max="13323" width="11.75" customWidth="1"/>
    <col min="13569" max="13569" width="37.08203125" customWidth="1"/>
    <col min="13570" max="13570" width="12" customWidth="1"/>
    <col min="13571" max="13571" width="11.58203125" customWidth="1"/>
    <col min="13573" max="13573" width="8.83203125" customWidth="1"/>
    <col min="13575" max="13575" width="5.58203125" customWidth="1"/>
    <col min="13576" max="13576" width="8.58203125" customWidth="1"/>
    <col min="13579" max="13579" width="11.75" customWidth="1"/>
    <col min="13825" max="13825" width="37.08203125" customWidth="1"/>
    <col min="13826" max="13826" width="12" customWidth="1"/>
    <col min="13827" max="13827" width="11.58203125" customWidth="1"/>
    <col min="13829" max="13829" width="8.83203125" customWidth="1"/>
    <col min="13831" max="13831" width="5.58203125" customWidth="1"/>
    <col min="13832" max="13832" width="8.58203125" customWidth="1"/>
    <col min="13835" max="13835" width="11.75" customWidth="1"/>
    <col min="14081" max="14081" width="37.08203125" customWidth="1"/>
    <col min="14082" max="14082" width="12" customWidth="1"/>
    <col min="14083" max="14083" width="11.58203125" customWidth="1"/>
    <col min="14085" max="14085" width="8.83203125" customWidth="1"/>
    <col min="14087" max="14087" width="5.58203125" customWidth="1"/>
    <col min="14088" max="14088" width="8.58203125" customWidth="1"/>
    <col min="14091" max="14091" width="11.75" customWidth="1"/>
    <col min="14337" max="14337" width="37.08203125" customWidth="1"/>
    <col min="14338" max="14338" width="12" customWidth="1"/>
    <col min="14339" max="14339" width="11.58203125" customWidth="1"/>
    <col min="14341" max="14341" width="8.83203125" customWidth="1"/>
    <col min="14343" max="14343" width="5.58203125" customWidth="1"/>
    <col min="14344" max="14344" width="8.58203125" customWidth="1"/>
    <col min="14347" max="14347" width="11.75" customWidth="1"/>
    <col min="14593" max="14593" width="37.08203125" customWidth="1"/>
    <col min="14594" max="14594" width="12" customWidth="1"/>
    <col min="14595" max="14595" width="11.58203125" customWidth="1"/>
    <col min="14597" max="14597" width="8.83203125" customWidth="1"/>
    <col min="14599" max="14599" width="5.58203125" customWidth="1"/>
    <col min="14600" max="14600" width="8.58203125" customWidth="1"/>
    <col min="14603" max="14603" width="11.75" customWidth="1"/>
    <col min="14849" max="14849" width="37.08203125" customWidth="1"/>
    <col min="14850" max="14850" width="12" customWidth="1"/>
    <col min="14851" max="14851" width="11.58203125" customWidth="1"/>
    <col min="14853" max="14853" width="8.83203125" customWidth="1"/>
    <col min="14855" max="14855" width="5.58203125" customWidth="1"/>
    <col min="14856" max="14856" width="8.58203125" customWidth="1"/>
    <col min="14859" max="14859" width="11.75" customWidth="1"/>
    <col min="15105" max="15105" width="37.08203125" customWidth="1"/>
    <col min="15106" max="15106" width="12" customWidth="1"/>
    <col min="15107" max="15107" width="11.58203125" customWidth="1"/>
    <col min="15109" max="15109" width="8.83203125" customWidth="1"/>
    <col min="15111" max="15111" width="5.58203125" customWidth="1"/>
    <col min="15112" max="15112" width="8.58203125" customWidth="1"/>
    <col min="15115" max="15115" width="11.75" customWidth="1"/>
    <col min="15361" max="15361" width="37.08203125" customWidth="1"/>
    <col min="15362" max="15362" width="12" customWidth="1"/>
    <col min="15363" max="15363" width="11.58203125" customWidth="1"/>
    <col min="15365" max="15365" width="8.83203125" customWidth="1"/>
    <col min="15367" max="15367" width="5.58203125" customWidth="1"/>
    <col min="15368" max="15368" width="8.58203125" customWidth="1"/>
    <col min="15371" max="15371" width="11.75" customWidth="1"/>
    <col min="15617" max="15617" width="37.08203125" customWidth="1"/>
    <col min="15618" max="15618" width="12" customWidth="1"/>
    <col min="15619" max="15619" width="11.58203125" customWidth="1"/>
    <col min="15621" max="15621" width="8.83203125" customWidth="1"/>
    <col min="15623" max="15623" width="5.58203125" customWidth="1"/>
    <col min="15624" max="15624" width="8.58203125" customWidth="1"/>
    <col min="15627" max="15627" width="11.75" customWidth="1"/>
    <col min="15873" max="15873" width="37.08203125" customWidth="1"/>
    <col min="15874" max="15874" width="12" customWidth="1"/>
    <col min="15875" max="15875" width="11.58203125" customWidth="1"/>
    <col min="15877" max="15877" width="8.83203125" customWidth="1"/>
    <col min="15879" max="15879" width="5.58203125" customWidth="1"/>
    <col min="15880" max="15880" width="8.58203125" customWidth="1"/>
    <col min="15883" max="15883" width="11.75" customWidth="1"/>
    <col min="16129" max="16129" width="37.08203125" customWidth="1"/>
    <col min="16130" max="16130" width="12" customWidth="1"/>
    <col min="16131" max="16131" width="11.58203125" customWidth="1"/>
    <col min="16133" max="16133" width="8.83203125" customWidth="1"/>
    <col min="16135" max="16135" width="5.58203125" customWidth="1"/>
    <col min="16136" max="16136" width="8.58203125" customWidth="1"/>
    <col min="16139" max="16139" width="11.75" customWidth="1"/>
  </cols>
  <sheetData>
    <row r="1" spans="1:12" ht="20.5" x14ac:dyDescent="0.45">
      <c r="A1" s="1" t="s">
        <v>0</v>
      </c>
      <c r="I1">
        <v>1.228067</v>
      </c>
      <c r="J1" t="s">
        <v>1</v>
      </c>
    </row>
    <row r="2" spans="1:12" ht="16" thickBot="1" x14ac:dyDescent="0.4">
      <c r="A2" s="2" t="s">
        <v>2</v>
      </c>
      <c r="H2" s="2" t="s">
        <v>3</v>
      </c>
    </row>
    <row r="3" spans="1:12" x14ac:dyDescent="0.35">
      <c r="A3" s="3"/>
      <c r="H3" s="4"/>
      <c r="I3" s="5"/>
      <c r="J3" s="5"/>
      <c r="K3" s="67"/>
    </row>
    <row r="4" spans="1:12" ht="16" thickBot="1" x14ac:dyDescent="0.4">
      <c r="A4" s="6"/>
      <c r="H4" s="7" t="s">
        <v>83</v>
      </c>
      <c r="I4" s="8"/>
      <c r="J4" s="8"/>
      <c r="K4" s="9"/>
    </row>
    <row r="5" spans="1:12" ht="9.75" customHeight="1" x14ac:dyDescent="0.35"/>
    <row r="6" spans="1:12" ht="16.5" customHeight="1" x14ac:dyDescent="0.35">
      <c r="A6" t="s">
        <v>4</v>
      </c>
      <c r="B6" s="10">
        <v>0</v>
      </c>
      <c r="C6" s="11">
        <v>37</v>
      </c>
      <c r="D6" s="12"/>
      <c r="E6" s="12"/>
    </row>
    <row r="7" spans="1:12" ht="6.75" customHeight="1" x14ac:dyDescent="0.35"/>
    <row r="8" spans="1:12" x14ac:dyDescent="0.35">
      <c r="A8" s="2" t="s">
        <v>5</v>
      </c>
      <c r="B8" s="12" t="s">
        <v>53</v>
      </c>
      <c r="C8" s="12" t="s">
        <v>6</v>
      </c>
    </row>
    <row r="9" spans="1:12" x14ac:dyDescent="0.35">
      <c r="A9" t="s">
        <v>84</v>
      </c>
      <c r="B9" s="13"/>
      <c r="C9" s="14">
        <v>0</v>
      </c>
      <c r="H9" t="s">
        <v>8</v>
      </c>
    </row>
    <row r="10" spans="1:12" x14ac:dyDescent="0.35">
      <c r="A10" s="15" t="s">
        <v>9</v>
      </c>
      <c r="B10" s="16">
        <f>IF($B$6=0,0,ROUND(((C10*12)/$B$6*$C$6)/$I$1,0))</f>
        <v>0</v>
      </c>
      <c r="C10" s="17">
        <v>0</v>
      </c>
      <c r="H10" s="2" t="s">
        <v>10</v>
      </c>
      <c r="I10" s="2" t="s">
        <v>87</v>
      </c>
      <c r="J10" s="2" t="s">
        <v>11</v>
      </c>
      <c r="K10" s="2"/>
    </row>
    <row r="11" spans="1:12" x14ac:dyDescent="0.35">
      <c r="A11" s="15" t="s">
        <v>12</v>
      </c>
      <c r="B11" s="16">
        <f>IF($B$6=0,0,ROUND(((C11*12)/$B$6*$C$6)/$I$1,0))</f>
        <v>0</v>
      </c>
      <c r="C11" s="17">
        <v>0</v>
      </c>
      <c r="H11" s="2" t="s">
        <v>18</v>
      </c>
      <c r="J11" s="20"/>
      <c r="K11" s="18"/>
    </row>
    <row r="12" spans="1:12" x14ac:dyDescent="0.35">
      <c r="A12" s="15" t="s">
        <v>14</v>
      </c>
      <c r="B12" s="16">
        <f>IF($B$6=0,0,ROUND(((C12*12)/$B$6*$C$6)/$I$1,0))</f>
        <v>0</v>
      </c>
      <c r="C12" s="17">
        <v>0</v>
      </c>
      <c r="H12" s="58">
        <v>249025</v>
      </c>
      <c r="I12" s="58">
        <v>308005</v>
      </c>
      <c r="J12" s="58">
        <v>262132</v>
      </c>
      <c r="K12" s="18"/>
      <c r="L12" t="s">
        <v>63</v>
      </c>
    </row>
    <row r="13" spans="1:12" x14ac:dyDescent="0.35">
      <c r="A13" s="15" t="s">
        <v>14</v>
      </c>
      <c r="B13" s="16">
        <f>IF($B$6=0,0,ROUND(((C13*12)/$B$6*$C$6)/$I$1,0))</f>
        <v>0</v>
      </c>
      <c r="C13" s="17">
        <v>0</v>
      </c>
      <c r="H13" s="58">
        <v>262132</v>
      </c>
      <c r="I13" s="58">
        <v>347325</v>
      </c>
      <c r="J13" s="58">
        <v>275239</v>
      </c>
      <c r="K13" s="18"/>
      <c r="L13" t="s">
        <v>64</v>
      </c>
    </row>
    <row r="14" spans="1:12" x14ac:dyDescent="0.35">
      <c r="A14" s="15" t="s">
        <v>14</v>
      </c>
      <c r="B14" s="16">
        <f>IF($B$6=0,0,ROUND(((C14*12)/$B$6*$C$6)/$I$1,0))</f>
        <v>0</v>
      </c>
      <c r="C14" s="17">
        <v>0</v>
      </c>
      <c r="H14" s="58">
        <v>314558</v>
      </c>
      <c r="I14" s="58">
        <v>393198</v>
      </c>
      <c r="J14" s="58">
        <v>327665</v>
      </c>
      <c r="K14" s="18"/>
      <c r="L14" t="s">
        <v>65</v>
      </c>
    </row>
    <row r="15" spans="1:12" x14ac:dyDescent="0.35">
      <c r="A15" t="s">
        <v>61</v>
      </c>
      <c r="B15" s="16">
        <f>IF($B$6=0,0,ROUND((C15*12)/$I$1,2))</f>
        <v>0</v>
      </c>
      <c r="C15" s="28">
        <f>(SUM(C9:C14)-(SUM(C9:C14)/1.18))*-1</f>
        <v>0</v>
      </c>
      <c r="H15" s="29" t="s">
        <v>19</v>
      </c>
      <c r="I15" s="18">
        <v>393198</v>
      </c>
      <c r="J15" s="20" t="s">
        <v>20</v>
      </c>
      <c r="K15" s="18"/>
    </row>
    <row r="16" spans="1:12" ht="9" customHeight="1" x14ac:dyDescent="0.35">
      <c r="B16" s="19"/>
      <c r="C16" s="19"/>
    </row>
    <row r="17" spans="1:12" x14ac:dyDescent="0.35">
      <c r="A17" s="2" t="s">
        <v>54</v>
      </c>
      <c r="B17" s="12" t="s">
        <v>53</v>
      </c>
      <c r="C17" s="12" t="s">
        <v>6</v>
      </c>
      <c r="H17" t="s">
        <v>15</v>
      </c>
      <c r="J17" s="20">
        <v>31100</v>
      </c>
    </row>
    <row r="18" spans="1:12" x14ac:dyDescent="0.35">
      <c r="A18" s="22" t="s">
        <v>58</v>
      </c>
      <c r="B18" s="23"/>
      <c r="C18" s="24">
        <f>SUM(C9:C15)</f>
        <v>0</v>
      </c>
      <c r="H18" t="s">
        <v>59</v>
      </c>
      <c r="J18">
        <v>750</v>
      </c>
    </row>
    <row r="19" spans="1:12" x14ac:dyDescent="0.35">
      <c r="A19" s="25" t="s">
        <v>56</v>
      </c>
      <c r="B19" s="46">
        <f>IF($B$6=0,0,ROUND((C19/$B$6*$C$6)/$I$1,0))</f>
        <v>0</v>
      </c>
      <c r="C19" s="26">
        <f>C18*12</f>
        <v>0</v>
      </c>
    </row>
    <row r="20" spans="1:12" x14ac:dyDescent="0.35">
      <c r="A20" s="25"/>
      <c r="B20" s="16"/>
      <c r="C20" s="26"/>
      <c r="H20" s="2" t="s">
        <v>85</v>
      </c>
      <c r="J20" s="20"/>
      <c r="K20" s="18"/>
    </row>
    <row r="21" spans="1:12" x14ac:dyDescent="0.35">
      <c r="A21" s="27"/>
      <c r="B21" s="21"/>
      <c r="C21" s="28"/>
      <c r="H21" s="58">
        <v>262132</v>
      </c>
      <c r="I21" s="58">
        <v>347325</v>
      </c>
      <c r="J21" s="58">
        <v>275239</v>
      </c>
      <c r="K21" s="18"/>
      <c r="L21" t="s">
        <v>63</v>
      </c>
    </row>
    <row r="22" spans="1:12" ht="15.5" customHeight="1" x14ac:dyDescent="0.35">
      <c r="B22" s="19"/>
      <c r="H22" s="58">
        <v>275239</v>
      </c>
      <c r="I22" s="58">
        <v>393198</v>
      </c>
      <c r="J22" s="58">
        <v>288345</v>
      </c>
      <c r="K22" s="18"/>
      <c r="L22" t="s">
        <v>64</v>
      </c>
    </row>
    <row r="23" spans="1:12" x14ac:dyDescent="0.35">
      <c r="A23" s="2" t="s">
        <v>21</v>
      </c>
      <c r="B23" s="12" t="s">
        <v>53</v>
      </c>
      <c r="C23" s="12" t="s">
        <v>6</v>
      </c>
      <c r="H23" t="s">
        <v>15</v>
      </c>
      <c r="J23" s="20">
        <v>28800</v>
      </c>
      <c r="K23" s="19"/>
    </row>
    <row r="24" spans="1:12" x14ac:dyDescent="0.35">
      <c r="A24" s="22" t="s">
        <v>22</v>
      </c>
      <c r="B24" s="23">
        <f>IF($B$6=0,0,CEILING((C24/$B$6*$C$6)/$I$1,100))</f>
        <v>0</v>
      </c>
      <c r="C24" s="24">
        <f>C19-C25-C26</f>
        <v>0</v>
      </c>
      <c r="H24" t="s">
        <v>59</v>
      </c>
      <c r="J24">
        <v>800</v>
      </c>
    </row>
    <row r="25" spans="1:12" x14ac:dyDescent="0.35">
      <c r="A25" s="25" t="s">
        <v>23</v>
      </c>
      <c r="B25" s="30">
        <v>0</v>
      </c>
      <c r="C25" s="26">
        <f>ROUND(((B25/$C$6*$B$6)*$I$1),2)</f>
        <v>0</v>
      </c>
    </row>
    <row r="26" spans="1:12" x14ac:dyDescent="0.35">
      <c r="A26" s="25" t="s">
        <v>59</v>
      </c>
      <c r="B26" s="30">
        <v>0</v>
      </c>
      <c r="C26" s="26">
        <f>ROUND(((B26/$C$6*$B$6)*$I$1),2)</f>
        <v>0</v>
      </c>
      <c r="H26" s="2" t="s">
        <v>26</v>
      </c>
      <c r="J26" s="20"/>
      <c r="K26" s="18"/>
    </row>
    <row r="27" spans="1:12" x14ac:dyDescent="0.35">
      <c r="A27" s="27" t="s">
        <v>24</v>
      </c>
      <c r="B27" s="21">
        <f>SUM(B24:B26)</f>
        <v>0</v>
      </c>
      <c r="C27" s="28">
        <f>ROUND((B27/$C$6*$B$6)*$I$1,2)</f>
        <v>0</v>
      </c>
      <c r="H27" s="58">
        <v>255579</v>
      </c>
      <c r="I27" s="58">
        <v>373538</v>
      </c>
      <c r="J27" s="58">
        <v>262132</v>
      </c>
      <c r="K27" s="18"/>
    </row>
    <row r="28" spans="1:12" x14ac:dyDescent="0.35">
      <c r="A28" s="31" t="s">
        <v>25</v>
      </c>
      <c r="B28" s="30">
        <v>0</v>
      </c>
      <c r="C28" s="19"/>
      <c r="H28" t="s">
        <v>15</v>
      </c>
      <c r="J28" s="20">
        <v>19700</v>
      </c>
    </row>
    <row r="29" spans="1:12" ht="15.5" customHeight="1" x14ac:dyDescent="0.35">
      <c r="A29" s="31" t="s">
        <v>86</v>
      </c>
      <c r="B29" s="30">
        <v>0</v>
      </c>
      <c r="C29" s="19"/>
      <c r="H29" t="s">
        <v>59</v>
      </c>
      <c r="J29">
        <v>850</v>
      </c>
      <c r="K29" s="18"/>
    </row>
    <row r="30" spans="1:12" x14ac:dyDescent="0.35">
      <c r="A30" s="2" t="s">
        <v>27</v>
      </c>
      <c r="B30" s="12" t="s">
        <v>53</v>
      </c>
      <c r="C30" s="12" t="s">
        <v>6</v>
      </c>
      <c r="D30" s="29"/>
    </row>
    <row r="31" spans="1:12" x14ac:dyDescent="0.35">
      <c r="A31" s="32" t="s">
        <v>28</v>
      </c>
      <c r="B31" s="33">
        <f>IF(B28&lt;B24,B24+B25+B26,B28+B25+B26)</f>
        <v>0</v>
      </c>
      <c r="C31" s="34">
        <f>IF(B24-B28&lt;0,ROUND((((B28+B25+B26)/$C$6*$B$6)*$I$1),2),ROUND(((B27/$C$6*$B$6)*$I$1),2))</f>
        <v>0</v>
      </c>
    </row>
    <row r="32" spans="1:12" x14ac:dyDescent="0.35">
      <c r="A32" s="35"/>
      <c r="B32" s="36"/>
      <c r="C32" s="37"/>
    </row>
    <row r="33" spans="1:12" x14ac:dyDescent="0.35">
      <c r="A33" s="32" t="s">
        <v>7</v>
      </c>
      <c r="B33" s="33">
        <f>IF(B24-B28&lt;0,B28,IF(B24&gt;B29,B29,B24))</f>
        <v>0</v>
      </c>
      <c r="C33" s="34">
        <f>ROUND((((B33/$C$6*$B$6)/12)*$I$1),2)</f>
        <v>0</v>
      </c>
    </row>
    <row r="34" spans="1:12" x14ac:dyDescent="0.35">
      <c r="A34" s="35" t="s">
        <v>29</v>
      </c>
      <c r="B34" s="38">
        <f>B25</f>
        <v>0</v>
      </c>
      <c r="C34" s="39">
        <f>ROUND(C25/12,2)</f>
        <v>0</v>
      </c>
    </row>
    <row r="35" spans="1:12" x14ac:dyDescent="0.35">
      <c r="A35" s="35" t="s">
        <v>59</v>
      </c>
      <c r="B35" s="38">
        <f>B26</f>
        <v>0</v>
      </c>
      <c r="C35" s="39">
        <f>ROUND(C26/12,2)</f>
        <v>0</v>
      </c>
    </row>
    <row r="36" spans="1:12" x14ac:dyDescent="0.35">
      <c r="A36" s="40" t="s">
        <v>30</v>
      </c>
      <c r="B36" s="41"/>
      <c r="C36" s="42">
        <f>C34+C33+C35</f>
        <v>0</v>
      </c>
    </row>
    <row r="37" spans="1:12" x14ac:dyDescent="0.35">
      <c r="A37" s="35" t="s">
        <v>46</v>
      </c>
      <c r="B37" s="38">
        <f>IF(B29-B24&lt;0,B24-B29,0)</f>
        <v>0</v>
      </c>
      <c r="C37" s="37"/>
    </row>
    <row r="38" spans="1:12" x14ac:dyDescent="0.35">
      <c r="A38" s="40" t="s">
        <v>31</v>
      </c>
      <c r="B38" s="43"/>
      <c r="C38" s="42">
        <f>C31-C19</f>
        <v>0</v>
      </c>
      <c r="L38" s="60" t="s">
        <v>95</v>
      </c>
    </row>
  </sheetData>
  <sheetProtection algorithmName="SHA-512" hashValue="2+af1KcvaU0xV84tKozSVQwUhcUvXICQ19ydqmAc6FH8Z6sxHbQ61U8p8dOCvatCVNU3TIUwlW2nV5l7P3LBzw==" saltValue="hcjdsudjLdhtsudxqf8fzg==" spinCount="100000" sheet="1" objects="1" scenarios="1"/>
  <pageMargins left="0.19685039370078741" right="0.19685039370078741" top="0.19685039370078741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F41BD-75F0-4103-A136-2286B3985AEC}">
  <dimension ref="A1:L38"/>
  <sheetViews>
    <sheetView workbookViewId="0">
      <selection activeCell="A3" sqref="A3"/>
    </sheetView>
  </sheetViews>
  <sheetFormatPr defaultRowHeight="15.5" x14ac:dyDescent="0.35"/>
  <cols>
    <col min="1" max="1" width="37.08203125" customWidth="1"/>
    <col min="2" max="2" width="12" customWidth="1"/>
    <col min="3" max="3" width="11.58203125" customWidth="1"/>
    <col min="5" max="5" width="8.83203125" customWidth="1"/>
    <col min="7" max="7" width="5.58203125" customWidth="1"/>
    <col min="8" max="8" width="8.08203125" customWidth="1"/>
    <col min="9" max="9" width="8.1640625" customWidth="1"/>
    <col min="10" max="10" width="9.6640625" customWidth="1"/>
    <col min="11" max="11" width="11.75" customWidth="1"/>
    <col min="12" max="12" width="4.9140625" customWidth="1"/>
    <col min="257" max="257" width="37.08203125" customWidth="1"/>
    <col min="258" max="258" width="12" customWidth="1"/>
    <col min="259" max="259" width="11.58203125" customWidth="1"/>
    <col min="261" max="261" width="8.83203125" customWidth="1"/>
    <col min="263" max="263" width="5.58203125" customWidth="1"/>
    <col min="264" max="264" width="8.58203125" customWidth="1"/>
    <col min="267" max="267" width="11.75" customWidth="1"/>
    <col min="513" max="513" width="37.08203125" customWidth="1"/>
    <col min="514" max="514" width="12" customWidth="1"/>
    <col min="515" max="515" width="11.58203125" customWidth="1"/>
    <col min="517" max="517" width="8.83203125" customWidth="1"/>
    <col min="519" max="519" width="5.58203125" customWidth="1"/>
    <col min="520" max="520" width="8.58203125" customWidth="1"/>
    <col min="523" max="523" width="11.75" customWidth="1"/>
    <col min="769" max="769" width="37.08203125" customWidth="1"/>
    <col min="770" max="770" width="12" customWidth="1"/>
    <col min="771" max="771" width="11.58203125" customWidth="1"/>
    <col min="773" max="773" width="8.83203125" customWidth="1"/>
    <col min="775" max="775" width="5.58203125" customWidth="1"/>
    <col min="776" max="776" width="8.58203125" customWidth="1"/>
    <col min="779" max="779" width="11.75" customWidth="1"/>
    <col min="1025" max="1025" width="37.08203125" customWidth="1"/>
    <col min="1026" max="1026" width="12" customWidth="1"/>
    <col min="1027" max="1027" width="11.58203125" customWidth="1"/>
    <col min="1029" max="1029" width="8.83203125" customWidth="1"/>
    <col min="1031" max="1031" width="5.58203125" customWidth="1"/>
    <col min="1032" max="1032" width="8.58203125" customWidth="1"/>
    <col min="1035" max="1035" width="11.75" customWidth="1"/>
    <col min="1281" max="1281" width="37.08203125" customWidth="1"/>
    <col min="1282" max="1282" width="12" customWidth="1"/>
    <col min="1283" max="1283" width="11.58203125" customWidth="1"/>
    <col min="1285" max="1285" width="8.83203125" customWidth="1"/>
    <col min="1287" max="1287" width="5.58203125" customWidth="1"/>
    <col min="1288" max="1288" width="8.58203125" customWidth="1"/>
    <col min="1291" max="1291" width="11.75" customWidth="1"/>
    <col min="1537" max="1537" width="37.08203125" customWidth="1"/>
    <col min="1538" max="1538" width="12" customWidth="1"/>
    <col min="1539" max="1539" width="11.58203125" customWidth="1"/>
    <col min="1541" max="1541" width="8.83203125" customWidth="1"/>
    <col min="1543" max="1543" width="5.58203125" customWidth="1"/>
    <col min="1544" max="1544" width="8.58203125" customWidth="1"/>
    <col min="1547" max="1547" width="11.75" customWidth="1"/>
    <col min="1793" max="1793" width="37.08203125" customWidth="1"/>
    <col min="1794" max="1794" width="12" customWidth="1"/>
    <col min="1795" max="1795" width="11.58203125" customWidth="1"/>
    <col min="1797" max="1797" width="8.83203125" customWidth="1"/>
    <col min="1799" max="1799" width="5.58203125" customWidth="1"/>
    <col min="1800" max="1800" width="8.58203125" customWidth="1"/>
    <col min="1803" max="1803" width="11.75" customWidth="1"/>
    <col min="2049" max="2049" width="37.08203125" customWidth="1"/>
    <col min="2050" max="2050" width="12" customWidth="1"/>
    <col min="2051" max="2051" width="11.58203125" customWidth="1"/>
    <col min="2053" max="2053" width="8.83203125" customWidth="1"/>
    <col min="2055" max="2055" width="5.58203125" customWidth="1"/>
    <col min="2056" max="2056" width="8.58203125" customWidth="1"/>
    <col min="2059" max="2059" width="11.75" customWidth="1"/>
    <col min="2305" max="2305" width="37.08203125" customWidth="1"/>
    <col min="2306" max="2306" width="12" customWidth="1"/>
    <col min="2307" max="2307" width="11.58203125" customWidth="1"/>
    <col min="2309" max="2309" width="8.83203125" customWidth="1"/>
    <col min="2311" max="2311" width="5.58203125" customWidth="1"/>
    <col min="2312" max="2312" width="8.58203125" customWidth="1"/>
    <col min="2315" max="2315" width="11.75" customWidth="1"/>
    <col min="2561" max="2561" width="37.08203125" customWidth="1"/>
    <col min="2562" max="2562" width="12" customWidth="1"/>
    <col min="2563" max="2563" width="11.58203125" customWidth="1"/>
    <col min="2565" max="2565" width="8.83203125" customWidth="1"/>
    <col min="2567" max="2567" width="5.58203125" customWidth="1"/>
    <col min="2568" max="2568" width="8.58203125" customWidth="1"/>
    <col min="2571" max="2571" width="11.75" customWidth="1"/>
    <col min="2817" max="2817" width="37.08203125" customWidth="1"/>
    <col min="2818" max="2818" width="12" customWidth="1"/>
    <col min="2819" max="2819" width="11.58203125" customWidth="1"/>
    <col min="2821" max="2821" width="8.83203125" customWidth="1"/>
    <col min="2823" max="2823" width="5.58203125" customWidth="1"/>
    <col min="2824" max="2824" width="8.58203125" customWidth="1"/>
    <col min="2827" max="2827" width="11.75" customWidth="1"/>
    <col min="3073" max="3073" width="37.08203125" customWidth="1"/>
    <col min="3074" max="3074" width="12" customWidth="1"/>
    <col min="3075" max="3075" width="11.58203125" customWidth="1"/>
    <col min="3077" max="3077" width="8.83203125" customWidth="1"/>
    <col min="3079" max="3079" width="5.58203125" customWidth="1"/>
    <col min="3080" max="3080" width="8.58203125" customWidth="1"/>
    <col min="3083" max="3083" width="11.75" customWidth="1"/>
    <col min="3329" max="3329" width="37.08203125" customWidth="1"/>
    <col min="3330" max="3330" width="12" customWidth="1"/>
    <col min="3331" max="3331" width="11.58203125" customWidth="1"/>
    <col min="3333" max="3333" width="8.83203125" customWidth="1"/>
    <col min="3335" max="3335" width="5.58203125" customWidth="1"/>
    <col min="3336" max="3336" width="8.58203125" customWidth="1"/>
    <col min="3339" max="3339" width="11.75" customWidth="1"/>
    <col min="3585" max="3585" width="37.08203125" customWidth="1"/>
    <col min="3586" max="3586" width="12" customWidth="1"/>
    <col min="3587" max="3587" width="11.58203125" customWidth="1"/>
    <col min="3589" max="3589" width="8.83203125" customWidth="1"/>
    <col min="3591" max="3591" width="5.58203125" customWidth="1"/>
    <col min="3592" max="3592" width="8.58203125" customWidth="1"/>
    <col min="3595" max="3595" width="11.75" customWidth="1"/>
    <col min="3841" max="3841" width="37.08203125" customWidth="1"/>
    <col min="3842" max="3842" width="12" customWidth="1"/>
    <col min="3843" max="3843" width="11.58203125" customWidth="1"/>
    <col min="3845" max="3845" width="8.83203125" customWidth="1"/>
    <col min="3847" max="3847" width="5.58203125" customWidth="1"/>
    <col min="3848" max="3848" width="8.58203125" customWidth="1"/>
    <col min="3851" max="3851" width="11.75" customWidth="1"/>
    <col min="4097" max="4097" width="37.08203125" customWidth="1"/>
    <col min="4098" max="4098" width="12" customWidth="1"/>
    <col min="4099" max="4099" width="11.58203125" customWidth="1"/>
    <col min="4101" max="4101" width="8.83203125" customWidth="1"/>
    <col min="4103" max="4103" width="5.58203125" customWidth="1"/>
    <col min="4104" max="4104" width="8.58203125" customWidth="1"/>
    <col min="4107" max="4107" width="11.75" customWidth="1"/>
    <col min="4353" max="4353" width="37.08203125" customWidth="1"/>
    <col min="4354" max="4354" width="12" customWidth="1"/>
    <col min="4355" max="4355" width="11.58203125" customWidth="1"/>
    <col min="4357" max="4357" width="8.83203125" customWidth="1"/>
    <col min="4359" max="4359" width="5.58203125" customWidth="1"/>
    <col min="4360" max="4360" width="8.58203125" customWidth="1"/>
    <col min="4363" max="4363" width="11.75" customWidth="1"/>
    <col min="4609" max="4609" width="37.08203125" customWidth="1"/>
    <col min="4610" max="4610" width="12" customWidth="1"/>
    <col min="4611" max="4611" width="11.58203125" customWidth="1"/>
    <col min="4613" max="4613" width="8.83203125" customWidth="1"/>
    <col min="4615" max="4615" width="5.58203125" customWidth="1"/>
    <col min="4616" max="4616" width="8.58203125" customWidth="1"/>
    <col min="4619" max="4619" width="11.75" customWidth="1"/>
    <col min="4865" max="4865" width="37.08203125" customWidth="1"/>
    <col min="4866" max="4866" width="12" customWidth="1"/>
    <col min="4867" max="4867" width="11.58203125" customWidth="1"/>
    <col min="4869" max="4869" width="8.83203125" customWidth="1"/>
    <col min="4871" max="4871" width="5.58203125" customWidth="1"/>
    <col min="4872" max="4872" width="8.58203125" customWidth="1"/>
    <col min="4875" max="4875" width="11.75" customWidth="1"/>
    <col min="5121" max="5121" width="37.08203125" customWidth="1"/>
    <col min="5122" max="5122" width="12" customWidth="1"/>
    <col min="5123" max="5123" width="11.58203125" customWidth="1"/>
    <col min="5125" max="5125" width="8.83203125" customWidth="1"/>
    <col min="5127" max="5127" width="5.58203125" customWidth="1"/>
    <col min="5128" max="5128" width="8.58203125" customWidth="1"/>
    <col min="5131" max="5131" width="11.75" customWidth="1"/>
    <col min="5377" max="5377" width="37.08203125" customWidth="1"/>
    <col min="5378" max="5378" width="12" customWidth="1"/>
    <col min="5379" max="5379" width="11.58203125" customWidth="1"/>
    <col min="5381" max="5381" width="8.83203125" customWidth="1"/>
    <col min="5383" max="5383" width="5.58203125" customWidth="1"/>
    <col min="5384" max="5384" width="8.58203125" customWidth="1"/>
    <col min="5387" max="5387" width="11.75" customWidth="1"/>
    <col min="5633" max="5633" width="37.08203125" customWidth="1"/>
    <col min="5634" max="5634" width="12" customWidth="1"/>
    <col min="5635" max="5635" width="11.58203125" customWidth="1"/>
    <col min="5637" max="5637" width="8.83203125" customWidth="1"/>
    <col min="5639" max="5639" width="5.58203125" customWidth="1"/>
    <col min="5640" max="5640" width="8.58203125" customWidth="1"/>
    <col min="5643" max="5643" width="11.75" customWidth="1"/>
    <col min="5889" max="5889" width="37.08203125" customWidth="1"/>
    <col min="5890" max="5890" width="12" customWidth="1"/>
    <col min="5891" max="5891" width="11.58203125" customWidth="1"/>
    <col min="5893" max="5893" width="8.83203125" customWidth="1"/>
    <col min="5895" max="5895" width="5.58203125" customWidth="1"/>
    <col min="5896" max="5896" width="8.58203125" customWidth="1"/>
    <col min="5899" max="5899" width="11.75" customWidth="1"/>
    <col min="6145" max="6145" width="37.08203125" customWidth="1"/>
    <col min="6146" max="6146" width="12" customWidth="1"/>
    <col min="6147" max="6147" width="11.58203125" customWidth="1"/>
    <col min="6149" max="6149" width="8.83203125" customWidth="1"/>
    <col min="6151" max="6151" width="5.58203125" customWidth="1"/>
    <col min="6152" max="6152" width="8.58203125" customWidth="1"/>
    <col min="6155" max="6155" width="11.75" customWidth="1"/>
    <col min="6401" max="6401" width="37.08203125" customWidth="1"/>
    <col min="6402" max="6402" width="12" customWidth="1"/>
    <col min="6403" max="6403" width="11.58203125" customWidth="1"/>
    <col min="6405" max="6405" width="8.83203125" customWidth="1"/>
    <col min="6407" max="6407" width="5.58203125" customWidth="1"/>
    <col min="6408" max="6408" width="8.58203125" customWidth="1"/>
    <col min="6411" max="6411" width="11.75" customWidth="1"/>
    <col min="6657" max="6657" width="37.08203125" customWidth="1"/>
    <col min="6658" max="6658" width="12" customWidth="1"/>
    <col min="6659" max="6659" width="11.58203125" customWidth="1"/>
    <col min="6661" max="6661" width="8.83203125" customWidth="1"/>
    <col min="6663" max="6663" width="5.58203125" customWidth="1"/>
    <col min="6664" max="6664" width="8.58203125" customWidth="1"/>
    <col min="6667" max="6667" width="11.75" customWidth="1"/>
    <col min="6913" max="6913" width="37.08203125" customWidth="1"/>
    <col min="6914" max="6914" width="12" customWidth="1"/>
    <col min="6915" max="6915" width="11.58203125" customWidth="1"/>
    <col min="6917" max="6917" width="8.83203125" customWidth="1"/>
    <col min="6919" max="6919" width="5.58203125" customWidth="1"/>
    <col min="6920" max="6920" width="8.58203125" customWidth="1"/>
    <col min="6923" max="6923" width="11.75" customWidth="1"/>
    <col min="7169" max="7169" width="37.08203125" customWidth="1"/>
    <col min="7170" max="7170" width="12" customWidth="1"/>
    <col min="7171" max="7171" width="11.58203125" customWidth="1"/>
    <col min="7173" max="7173" width="8.83203125" customWidth="1"/>
    <col min="7175" max="7175" width="5.58203125" customWidth="1"/>
    <col min="7176" max="7176" width="8.58203125" customWidth="1"/>
    <col min="7179" max="7179" width="11.75" customWidth="1"/>
    <col min="7425" max="7425" width="37.08203125" customWidth="1"/>
    <col min="7426" max="7426" width="12" customWidth="1"/>
    <col min="7427" max="7427" width="11.58203125" customWidth="1"/>
    <col min="7429" max="7429" width="8.83203125" customWidth="1"/>
    <col min="7431" max="7431" width="5.58203125" customWidth="1"/>
    <col min="7432" max="7432" width="8.58203125" customWidth="1"/>
    <col min="7435" max="7435" width="11.75" customWidth="1"/>
    <col min="7681" max="7681" width="37.08203125" customWidth="1"/>
    <col min="7682" max="7682" width="12" customWidth="1"/>
    <col min="7683" max="7683" width="11.58203125" customWidth="1"/>
    <col min="7685" max="7685" width="8.83203125" customWidth="1"/>
    <col min="7687" max="7687" width="5.58203125" customWidth="1"/>
    <col min="7688" max="7688" width="8.58203125" customWidth="1"/>
    <col min="7691" max="7691" width="11.75" customWidth="1"/>
    <col min="7937" max="7937" width="37.08203125" customWidth="1"/>
    <col min="7938" max="7938" width="12" customWidth="1"/>
    <col min="7939" max="7939" width="11.58203125" customWidth="1"/>
    <col min="7941" max="7941" width="8.83203125" customWidth="1"/>
    <col min="7943" max="7943" width="5.58203125" customWidth="1"/>
    <col min="7944" max="7944" width="8.58203125" customWidth="1"/>
    <col min="7947" max="7947" width="11.75" customWidth="1"/>
    <col min="8193" max="8193" width="37.08203125" customWidth="1"/>
    <col min="8194" max="8194" width="12" customWidth="1"/>
    <col min="8195" max="8195" width="11.58203125" customWidth="1"/>
    <col min="8197" max="8197" width="8.83203125" customWidth="1"/>
    <col min="8199" max="8199" width="5.58203125" customWidth="1"/>
    <col min="8200" max="8200" width="8.58203125" customWidth="1"/>
    <col min="8203" max="8203" width="11.75" customWidth="1"/>
    <col min="8449" max="8449" width="37.08203125" customWidth="1"/>
    <col min="8450" max="8450" width="12" customWidth="1"/>
    <col min="8451" max="8451" width="11.58203125" customWidth="1"/>
    <col min="8453" max="8453" width="8.83203125" customWidth="1"/>
    <col min="8455" max="8455" width="5.58203125" customWidth="1"/>
    <col min="8456" max="8456" width="8.58203125" customWidth="1"/>
    <col min="8459" max="8459" width="11.75" customWidth="1"/>
    <col min="8705" max="8705" width="37.08203125" customWidth="1"/>
    <col min="8706" max="8706" width="12" customWidth="1"/>
    <col min="8707" max="8707" width="11.58203125" customWidth="1"/>
    <col min="8709" max="8709" width="8.83203125" customWidth="1"/>
    <col min="8711" max="8711" width="5.58203125" customWidth="1"/>
    <col min="8712" max="8712" width="8.58203125" customWidth="1"/>
    <col min="8715" max="8715" width="11.75" customWidth="1"/>
    <col min="8961" max="8961" width="37.08203125" customWidth="1"/>
    <col min="8962" max="8962" width="12" customWidth="1"/>
    <col min="8963" max="8963" width="11.58203125" customWidth="1"/>
    <col min="8965" max="8965" width="8.83203125" customWidth="1"/>
    <col min="8967" max="8967" width="5.58203125" customWidth="1"/>
    <col min="8968" max="8968" width="8.58203125" customWidth="1"/>
    <col min="8971" max="8971" width="11.75" customWidth="1"/>
    <col min="9217" max="9217" width="37.08203125" customWidth="1"/>
    <col min="9218" max="9218" width="12" customWidth="1"/>
    <col min="9219" max="9219" width="11.58203125" customWidth="1"/>
    <col min="9221" max="9221" width="8.83203125" customWidth="1"/>
    <col min="9223" max="9223" width="5.58203125" customWidth="1"/>
    <col min="9224" max="9224" width="8.58203125" customWidth="1"/>
    <col min="9227" max="9227" width="11.75" customWidth="1"/>
    <col min="9473" max="9473" width="37.08203125" customWidth="1"/>
    <col min="9474" max="9474" width="12" customWidth="1"/>
    <col min="9475" max="9475" width="11.58203125" customWidth="1"/>
    <col min="9477" max="9477" width="8.83203125" customWidth="1"/>
    <col min="9479" max="9479" width="5.58203125" customWidth="1"/>
    <col min="9480" max="9480" width="8.58203125" customWidth="1"/>
    <col min="9483" max="9483" width="11.75" customWidth="1"/>
    <col min="9729" max="9729" width="37.08203125" customWidth="1"/>
    <col min="9730" max="9730" width="12" customWidth="1"/>
    <col min="9731" max="9731" width="11.58203125" customWidth="1"/>
    <col min="9733" max="9733" width="8.83203125" customWidth="1"/>
    <col min="9735" max="9735" width="5.58203125" customWidth="1"/>
    <col min="9736" max="9736" width="8.58203125" customWidth="1"/>
    <col min="9739" max="9739" width="11.75" customWidth="1"/>
    <col min="9985" max="9985" width="37.08203125" customWidth="1"/>
    <col min="9986" max="9986" width="12" customWidth="1"/>
    <col min="9987" max="9987" width="11.58203125" customWidth="1"/>
    <col min="9989" max="9989" width="8.83203125" customWidth="1"/>
    <col min="9991" max="9991" width="5.58203125" customWidth="1"/>
    <col min="9992" max="9992" width="8.58203125" customWidth="1"/>
    <col min="9995" max="9995" width="11.75" customWidth="1"/>
    <col min="10241" max="10241" width="37.08203125" customWidth="1"/>
    <col min="10242" max="10242" width="12" customWidth="1"/>
    <col min="10243" max="10243" width="11.58203125" customWidth="1"/>
    <col min="10245" max="10245" width="8.83203125" customWidth="1"/>
    <col min="10247" max="10247" width="5.58203125" customWidth="1"/>
    <col min="10248" max="10248" width="8.58203125" customWidth="1"/>
    <col min="10251" max="10251" width="11.75" customWidth="1"/>
    <col min="10497" max="10497" width="37.08203125" customWidth="1"/>
    <col min="10498" max="10498" width="12" customWidth="1"/>
    <col min="10499" max="10499" width="11.58203125" customWidth="1"/>
    <col min="10501" max="10501" width="8.83203125" customWidth="1"/>
    <col min="10503" max="10503" width="5.58203125" customWidth="1"/>
    <col min="10504" max="10504" width="8.58203125" customWidth="1"/>
    <col min="10507" max="10507" width="11.75" customWidth="1"/>
    <col min="10753" max="10753" width="37.08203125" customWidth="1"/>
    <col min="10754" max="10754" width="12" customWidth="1"/>
    <col min="10755" max="10755" width="11.58203125" customWidth="1"/>
    <col min="10757" max="10757" width="8.83203125" customWidth="1"/>
    <col min="10759" max="10759" width="5.58203125" customWidth="1"/>
    <col min="10760" max="10760" width="8.58203125" customWidth="1"/>
    <col min="10763" max="10763" width="11.75" customWidth="1"/>
    <col min="11009" max="11009" width="37.08203125" customWidth="1"/>
    <col min="11010" max="11010" width="12" customWidth="1"/>
    <col min="11011" max="11011" width="11.58203125" customWidth="1"/>
    <col min="11013" max="11013" width="8.83203125" customWidth="1"/>
    <col min="11015" max="11015" width="5.58203125" customWidth="1"/>
    <col min="11016" max="11016" width="8.58203125" customWidth="1"/>
    <col min="11019" max="11019" width="11.75" customWidth="1"/>
    <col min="11265" max="11265" width="37.08203125" customWidth="1"/>
    <col min="11266" max="11266" width="12" customWidth="1"/>
    <col min="11267" max="11267" width="11.58203125" customWidth="1"/>
    <col min="11269" max="11269" width="8.83203125" customWidth="1"/>
    <col min="11271" max="11271" width="5.58203125" customWidth="1"/>
    <col min="11272" max="11272" width="8.58203125" customWidth="1"/>
    <col min="11275" max="11275" width="11.75" customWidth="1"/>
    <col min="11521" max="11521" width="37.08203125" customWidth="1"/>
    <col min="11522" max="11522" width="12" customWidth="1"/>
    <col min="11523" max="11523" width="11.58203125" customWidth="1"/>
    <col min="11525" max="11525" width="8.83203125" customWidth="1"/>
    <col min="11527" max="11527" width="5.58203125" customWidth="1"/>
    <col min="11528" max="11528" width="8.58203125" customWidth="1"/>
    <col min="11531" max="11531" width="11.75" customWidth="1"/>
    <col min="11777" max="11777" width="37.08203125" customWidth="1"/>
    <col min="11778" max="11778" width="12" customWidth="1"/>
    <col min="11779" max="11779" width="11.58203125" customWidth="1"/>
    <col min="11781" max="11781" width="8.83203125" customWidth="1"/>
    <col min="11783" max="11783" width="5.58203125" customWidth="1"/>
    <col min="11784" max="11784" width="8.58203125" customWidth="1"/>
    <col min="11787" max="11787" width="11.75" customWidth="1"/>
    <col min="12033" max="12033" width="37.08203125" customWidth="1"/>
    <col min="12034" max="12034" width="12" customWidth="1"/>
    <col min="12035" max="12035" width="11.58203125" customWidth="1"/>
    <col min="12037" max="12037" width="8.83203125" customWidth="1"/>
    <col min="12039" max="12039" width="5.58203125" customWidth="1"/>
    <col min="12040" max="12040" width="8.58203125" customWidth="1"/>
    <col min="12043" max="12043" width="11.75" customWidth="1"/>
    <col min="12289" max="12289" width="37.08203125" customWidth="1"/>
    <col min="12290" max="12290" width="12" customWidth="1"/>
    <col min="12291" max="12291" width="11.58203125" customWidth="1"/>
    <col min="12293" max="12293" width="8.83203125" customWidth="1"/>
    <col min="12295" max="12295" width="5.58203125" customWidth="1"/>
    <col min="12296" max="12296" width="8.58203125" customWidth="1"/>
    <col min="12299" max="12299" width="11.75" customWidth="1"/>
    <col min="12545" max="12545" width="37.08203125" customWidth="1"/>
    <col min="12546" max="12546" width="12" customWidth="1"/>
    <col min="12547" max="12547" width="11.58203125" customWidth="1"/>
    <col min="12549" max="12549" width="8.83203125" customWidth="1"/>
    <col min="12551" max="12551" width="5.58203125" customWidth="1"/>
    <col min="12552" max="12552" width="8.58203125" customWidth="1"/>
    <col min="12555" max="12555" width="11.75" customWidth="1"/>
    <col min="12801" max="12801" width="37.08203125" customWidth="1"/>
    <col min="12802" max="12802" width="12" customWidth="1"/>
    <col min="12803" max="12803" width="11.58203125" customWidth="1"/>
    <col min="12805" max="12805" width="8.83203125" customWidth="1"/>
    <col min="12807" max="12807" width="5.58203125" customWidth="1"/>
    <col min="12808" max="12808" width="8.58203125" customWidth="1"/>
    <col min="12811" max="12811" width="11.75" customWidth="1"/>
    <col min="13057" max="13057" width="37.08203125" customWidth="1"/>
    <col min="13058" max="13058" width="12" customWidth="1"/>
    <col min="13059" max="13059" width="11.58203125" customWidth="1"/>
    <col min="13061" max="13061" width="8.83203125" customWidth="1"/>
    <col min="13063" max="13063" width="5.58203125" customWidth="1"/>
    <col min="13064" max="13064" width="8.58203125" customWidth="1"/>
    <col min="13067" max="13067" width="11.75" customWidth="1"/>
    <col min="13313" max="13313" width="37.08203125" customWidth="1"/>
    <col min="13314" max="13314" width="12" customWidth="1"/>
    <col min="13315" max="13315" width="11.58203125" customWidth="1"/>
    <col min="13317" max="13317" width="8.83203125" customWidth="1"/>
    <col min="13319" max="13319" width="5.58203125" customWidth="1"/>
    <col min="13320" max="13320" width="8.58203125" customWidth="1"/>
    <col min="13323" max="13323" width="11.75" customWidth="1"/>
    <col min="13569" max="13569" width="37.08203125" customWidth="1"/>
    <col min="13570" max="13570" width="12" customWidth="1"/>
    <col min="13571" max="13571" width="11.58203125" customWidth="1"/>
    <col min="13573" max="13573" width="8.83203125" customWidth="1"/>
    <col min="13575" max="13575" width="5.58203125" customWidth="1"/>
    <col min="13576" max="13576" width="8.58203125" customWidth="1"/>
    <col min="13579" max="13579" width="11.75" customWidth="1"/>
    <col min="13825" max="13825" width="37.08203125" customWidth="1"/>
    <col min="13826" max="13826" width="12" customWidth="1"/>
    <col min="13827" max="13827" width="11.58203125" customWidth="1"/>
    <col min="13829" max="13829" width="8.83203125" customWidth="1"/>
    <col min="13831" max="13831" width="5.58203125" customWidth="1"/>
    <col min="13832" max="13832" width="8.58203125" customWidth="1"/>
    <col min="13835" max="13835" width="11.75" customWidth="1"/>
    <col min="14081" max="14081" width="37.08203125" customWidth="1"/>
    <col min="14082" max="14082" width="12" customWidth="1"/>
    <col min="14083" max="14083" width="11.58203125" customWidth="1"/>
    <col min="14085" max="14085" width="8.83203125" customWidth="1"/>
    <col min="14087" max="14087" width="5.58203125" customWidth="1"/>
    <col min="14088" max="14088" width="8.58203125" customWidth="1"/>
    <col min="14091" max="14091" width="11.75" customWidth="1"/>
    <col min="14337" max="14337" width="37.08203125" customWidth="1"/>
    <col min="14338" max="14338" width="12" customWidth="1"/>
    <col min="14339" max="14339" width="11.58203125" customWidth="1"/>
    <col min="14341" max="14341" width="8.83203125" customWidth="1"/>
    <col min="14343" max="14343" width="5.58203125" customWidth="1"/>
    <col min="14344" max="14344" width="8.58203125" customWidth="1"/>
    <col min="14347" max="14347" width="11.75" customWidth="1"/>
    <col min="14593" max="14593" width="37.08203125" customWidth="1"/>
    <col min="14594" max="14594" width="12" customWidth="1"/>
    <col min="14595" max="14595" width="11.58203125" customWidth="1"/>
    <col min="14597" max="14597" width="8.83203125" customWidth="1"/>
    <col min="14599" max="14599" width="5.58203125" customWidth="1"/>
    <col min="14600" max="14600" width="8.58203125" customWidth="1"/>
    <col min="14603" max="14603" width="11.75" customWidth="1"/>
    <col min="14849" max="14849" width="37.08203125" customWidth="1"/>
    <col min="14850" max="14850" width="12" customWidth="1"/>
    <col min="14851" max="14851" width="11.58203125" customWidth="1"/>
    <col min="14853" max="14853" width="8.83203125" customWidth="1"/>
    <col min="14855" max="14855" width="5.58203125" customWidth="1"/>
    <col min="14856" max="14856" width="8.58203125" customWidth="1"/>
    <col min="14859" max="14859" width="11.75" customWidth="1"/>
    <col min="15105" max="15105" width="37.08203125" customWidth="1"/>
    <col min="15106" max="15106" width="12" customWidth="1"/>
    <col min="15107" max="15107" width="11.58203125" customWidth="1"/>
    <col min="15109" max="15109" width="8.83203125" customWidth="1"/>
    <col min="15111" max="15111" width="5.58203125" customWidth="1"/>
    <col min="15112" max="15112" width="8.58203125" customWidth="1"/>
    <col min="15115" max="15115" width="11.75" customWidth="1"/>
    <col min="15361" max="15361" width="37.08203125" customWidth="1"/>
    <col min="15362" max="15362" width="12" customWidth="1"/>
    <col min="15363" max="15363" width="11.58203125" customWidth="1"/>
    <col min="15365" max="15365" width="8.83203125" customWidth="1"/>
    <col min="15367" max="15367" width="5.58203125" customWidth="1"/>
    <col min="15368" max="15368" width="8.58203125" customWidth="1"/>
    <col min="15371" max="15371" width="11.75" customWidth="1"/>
    <col min="15617" max="15617" width="37.08203125" customWidth="1"/>
    <col min="15618" max="15618" width="12" customWidth="1"/>
    <col min="15619" max="15619" width="11.58203125" customWidth="1"/>
    <col min="15621" max="15621" width="8.83203125" customWidth="1"/>
    <col min="15623" max="15623" width="5.58203125" customWidth="1"/>
    <col min="15624" max="15624" width="8.58203125" customWidth="1"/>
    <col min="15627" max="15627" width="11.75" customWidth="1"/>
    <col min="15873" max="15873" width="37.08203125" customWidth="1"/>
    <col min="15874" max="15874" width="12" customWidth="1"/>
    <col min="15875" max="15875" width="11.58203125" customWidth="1"/>
    <col min="15877" max="15877" width="8.83203125" customWidth="1"/>
    <col min="15879" max="15879" width="5.58203125" customWidth="1"/>
    <col min="15880" max="15880" width="8.58203125" customWidth="1"/>
    <col min="15883" max="15883" width="11.75" customWidth="1"/>
    <col min="16129" max="16129" width="37.08203125" customWidth="1"/>
    <col min="16130" max="16130" width="12" customWidth="1"/>
    <col min="16131" max="16131" width="11.58203125" customWidth="1"/>
    <col min="16133" max="16133" width="8.83203125" customWidth="1"/>
    <col min="16135" max="16135" width="5.58203125" customWidth="1"/>
    <col min="16136" max="16136" width="8.58203125" customWidth="1"/>
    <col min="16139" max="16139" width="11.75" customWidth="1"/>
  </cols>
  <sheetData>
    <row r="1" spans="1:12" ht="20.5" x14ac:dyDescent="0.45">
      <c r="A1" s="1" t="s">
        <v>0</v>
      </c>
      <c r="I1" s="66">
        <v>1.228067</v>
      </c>
      <c r="J1" t="s">
        <v>1</v>
      </c>
    </row>
    <row r="2" spans="1:12" ht="16" thickBot="1" x14ac:dyDescent="0.4">
      <c r="A2" s="2" t="s">
        <v>2</v>
      </c>
      <c r="H2" s="2" t="s">
        <v>3</v>
      </c>
    </row>
    <row r="3" spans="1:12" x14ac:dyDescent="0.35">
      <c r="A3" s="3"/>
      <c r="H3" s="4"/>
      <c r="I3" s="5"/>
      <c r="J3" s="5"/>
      <c r="K3" s="67"/>
    </row>
    <row r="4" spans="1:12" ht="16" thickBot="1" x14ac:dyDescent="0.4">
      <c r="A4" s="6"/>
      <c r="H4" s="7" t="s">
        <v>83</v>
      </c>
      <c r="I4" s="8"/>
      <c r="J4" s="8"/>
      <c r="K4" s="9"/>
    </row>
    <row r="5" spans="1:12" ht="9.75" customHeight="1" x14ac:dyDescent="0.35"/>
    <row r="6" spans="1:12" ht="16.5" customHeight="1" x14ac:dyDescent="0.35">
      <c r="A6" t="s">
        <v>4</v>
      </c>
      <c r="B6" s="10">
        <v>0</v>
      </c>
      <c r="C6" s="11">
        <v>37</v>
      </c>
      <c r="D6" s="12"/>
      <c r="E6" s="12"/>
    </row>
    <row r="7" spans="1:12" ht="6.75" customHeight="1" x14ac:dyDescent="0.35"/>
    <row r="8" spans="1:12" x14ac:dyDescent="0.35">
      <c r="A8" s="2" t="s">
        <v>5</v>
      </c>
      <c r="B8" s="12" t="s">
        <v>53</v>
      </c>
      <c r="C8" s="12" t="s">
        <v>6</v>
      </c>
    </row>
    <row r="9" spans="1:12" x14ac:dyDescent="0.35">
      <c r="A9" t="s">
        <v>84</v>
      </c>
      <c r="B9" s="13"/>
      <c r="C9" s="14">
        <v>0</v>
      </c>
      <c r="H9" t="s">
        <v>8</v>
      </c>
    </row>
    <row r="10" spans="1:12" x14ac:dyDescent="0.35">
      <c r="A10" s="15" t="s">
        <v>9</v>
      </c>
      <c r="B10" s="16">
        <f>IF($B$6=0,0,ROUND(((C10*12)/$B$6*$C$6)/$I$1,0))</f>
        <v>0</v>
      </c>
      <c r="C10" s="17">
        <v>0</v>
      </c>
      <c r="H10" s="2" t="s">
        <v>13</v>
      </c>
      <c r="J10" s="2" t="s">
        <v>11</v>
      </c>
      <c r="K10" s="2" t="s">
        <v>11</v>
      </c>
    </row>
    <row r="11" spans="1:12" x14ac:dyDescent="0.35">
      <c r="A11" s="15" t="s">
        <v>12</v>
      </c>
      <c r="B11" s="16">
        <f>IF($B$6=0,0,ROUND(((C11*12)/$B$6*$C$6)/$I$1,0))</f>
        <v>0</v>
      </c>
      <c r="C11" s="17">
        <v>0</v>
      </c>
      <c r="H11" s="2" t="s">
        <v>10</v>
      </c>
      <c r="I11" s="2" t="s">
        <v>74</v>
      </c>
      <c r="J11" s="2" t="s">
        <v>88</v>
      </c>
      <c r="K11" s="2" t="s">
        <v>89</v>
      </c>
    </row>
    <row r="12" spans="1:12" x14ac:dyDescent="0.35">
      <c r="A12" s="15" t="s">
        <v>14</v>
      </c>
      <c r="B12" s="16">
        <f>IF($B$6=0,0,ROUND(((C12*12)/$B$6*$C$6)/$I$1,0))</f>
        <v>0</v>
      </c>
      <c r="C12" s="17">
        <v>0</v>
      </c>
      <c r="H12" s="58">
        <v>269025</v>
      </c>
      <c r="I12" s="58">
        <v>321112</v>
      </c>
      <c r="J12" s="58">
        <v>269025</v>
      </c>
      <c r="K12" s="58">
        <v>272957</v>
      </c>
      <c r="L12" t="s">
        <v>63</v>
      </c>
    </row>
    <row r="13" spans="1:12" x14ac:dyDescent="0.35">
      <c r="A13" s="15" t="s">
        <v>14</v>
      </c>
      <c r="B13" s="16">
        <f>IF($B$6=0,0,ROUND(((C13*12)/$B$6*$C$6)/$I$1,0))</f>
        <v>0</v>
      </c>
      <c r="C13" s="17">
        <v>0</v>
      </c>
      <c r="H13" s="58">
        <v>262132</v>
      </c>
      <c r="I13" s="58">
        <v>334218</v>
      </c>
      <c r="J13" s="58">
        <v>275239</v>
      </c>
      <c r="K13" s="58">
        <v>288345</v>
      </c>
      <c r="L13" t="s">
        <v>64</v>
      </c>
    </row>
    <row r="14" spans="1:12" x14ac:dyDescent="0.35">
      <c r="A14" s="15" t="s">
        <v>14</v>
      </c>
      <c r="B14" s="16">
        <f>IF($B$6=0,0,ROUND(((C14*12)/$B$6*$C$6)/$I$1,0))</f>
        <v>0</v>
      </c>
      <c r="C14" s="17">
        <v>0</v>
      </c>
      <c r="H14" t="s">
        <v>92</v>
      </c>
      <c r="J14" s="20">
        <v>11100</v>
      </c>
      <c r="K14" s="18"/>
    </row>
    <row r="15" spans="1:12" x14ac:dyDescent="0.35">
      <c r="A15" t="s">
        <v>60</v>
      </c>
      <c r="B15" s="16">
        <f>IF($B$6=0,0,ROUND((C15*12)/$I$1,2))</f>
        <v>0</v>
      </c>
      <c r="C15" s="28">
        <f>(SUM(C9:C14)-(SUM(C9:C14)/1.15))*-1</f>
        <v>0</v>
      </c>
      <c r="H15" t="s">
        <v>94</v>
      </c>
      <c r="J15" s="20">
        <v>19700</v>
      </c>
    </row>
    <row r="16" spans="1:12" ht="9" customHeight="1" x14ac:dyDescent="0.35">
      <c r="B16" s="19"/>
      <c r="C16" s="19"/>
      <c r="J16" s="20"/>
    </row>
    <row r="17" spans="1:11" x14ac:dyDescent="0.35">
      <c r="A17" s="2" t="s">
        <v>54</v>
      </c>
      <c r="B17" s="12" t="s">
        <v>53</v>
      </c>
      <c r="C17" s="12" t="s">
        <v>6</v>
      </c>
      <c r="H17" t="s">
        <v>93</v>
      </c>
      <c r="J17" s="20">
        <v>24800</v>
      </c>
    </row>
    <row r="18" spans="1:11" x14ac:dyDescent="0.35">
      <c r="A18" s="22" t="s">
        <v>57</v>
      </c>
      <c r="B18" s="23"/>
      <c r="C18" s="24">
        <f>SUM(C9:C15)</f>
        <v>0</v>
      </c>
    </row>
    <row r="19" spans="1:11" x14ac:dyDescent="0.35">
      <c r="A19" s="25" t="s">
        <v>56</v>
      </c>
      <c r="B19" s="46">
        <f>IF($B$6=0,0,ROUND((C19/$B$6*$C$6)/$I$1,0))</f>
        <v>0</v>
      </c>
      <c r="C19" s="26">
        <f>C18*12</f>
        <v>0</v>
      </c>
      <c r="H19" s="2" t="s">
        <v>16</v>
      </c>
      <c r="J19" s="2" t="s">
        <v>11</v>
      </c>
      <c r="K19" s="2" t="s">
        <v>11</v>
      </c>
    </row>
    <row r="20" spans="1:11" x14ac:dyDescent="0.35">
      <c r="A20" s="25"/>
      <c r="B20" s="16"/>
      <c r="C20" s="26"/>
      <c r="H20" s="2" t="s">
        <v>10</v>
      </c>
      <c r="I20" s="2" t="s">
        <v>74</v>
      </c>
      <c r="J20" s="2" t="s">
        <v>88</v>
      </c>
      <c r="K20" s="2" t="s">
        <v>89</v>
      </c>
    </row>
    <row r="21" spans="1:11" x14ac:dyDescent="0.35">
      <c r="A21" s="27"/>
      <c r="B21" s="21"/>
      <c r="C21" s="28"/>
      <c r="H21" s="58">
        <v>249025</v>
      </c>
      <c r="I21" s="58">
        <v>321112</v>
      </c>
      <c r="J21" s="58">
        <v>249025</v>
      </c>
      <c r="K21" s="58">
        <v>249025</v>
      </c>
    </row>
    <row r="22" spans="1:11" ht="10" customHeight="1" x14ac:dyDescent="0.35">
      <c r="B22" s="19"/>
      <c r="H22" s="29"/>
      <c r="I22" s="18"/>
      <c r="J22" s="20"/>
      <c r="K22" s="18"/>
    </row>
    <row r="23" spans="1:11" x14ac:dyDescent="0.35">
      <c r="A23" s="2" t="s">
        <v>21</v>
      </c>
      <c r="B23" s="12" t="s">
        <v>53</v>
      </c>
      <c r="C23" s="12" t="s">
        <v>6</v>
      </c>
      <c r="H23" t="s">
        <v>15</v>
      </c>
      <c r="J23" s="20">
        <v>23500</v>
      </c>
      <c r="K23" s="18"/>
    </row>
    <row r="24" spans="1:11" x14ac:dyDescent="0.35">
      <c r="A24" s="22" t="s">
        <v>22</v>
      </c>
      <c r="B24" s="23">
        <f>IF($B$6=0,0,ROUND((C24/$B$6*$C$6)/$I$1,0))</f>
        <v>0</v>
      </c>
      <c r="C24" s="24">
        <f>C19-C25-C26</f>
        <v>0</v>
      </c>
      <c r="H24" s="59" t="s">
        <v>59</v>
      </c>
      <c r="J24" s="20">
        <v>1100</v>
      </c>
      <c r="K24" s="18"/>
    </row>
    <row r="25" spans="1:11" x14ac:dyDescent="0.35">
      <c r="A25" s="25" t="s">
        <v>23</v>
      </c>
      <c r="B25" s="30">
        <v>0</v>
      </c>
      <c r="C25" s="26">
        <f>ROUND(((B25/$C$6*$B$6)*$I$1),2)</f>
        <v>0</v>
      </c>
      <c r="H25" s="18"/>
      <c r="I25" s="18"/>
      <c r="J25" s="18"/>
      <c r="K25" s="18"/>
    </row>
    <row r="26" spans="1:11" x14ac:dyDescent="0.35">
      <c r="A26" s="25" t="s">
        <v>59</v>
      </c>
      <c r="B26" s="30">
        <v>0</v>
      </c>
      <c r="C26" s="26">
        <f>ROUND(((B26/$C$6*$B$6)*$I$1),2)</f>
        <v>0</v>
      </c>
    </row>
    <row r="27" spans="1:11" x14ac:dyDescent="0.35">
      <c r="A27" s="27" t="s">
        <v>24</v>
      </c>
      <c r="B27" s="21">
        <f>SUM(B24:B26)</f>
        <v>0</v>
      </c>
      <c r="C27" s="28">
        <f>ROUND((B27/$C$6*$B$6)*$I$1,2)</f>
        <v>0</v>
      </c>
    </row>
    <row r="28" spans="1:11" x14ac:dyDescent="0.35">
      <c r="A28" s="31" t="s">
        <v>25</v>
      </c>
      <c r="B28" s="30">
        <v>0</v>
      </c>
      <c r="C28" s="19"/>
    </row>
    <row r="29" spans="1:11" ht="15.5" customHeight="1" x14ac:dyDescent="0.35">
      <c r="A29" s="31" t="s">
        <v>86</v>
      </c>
      <c r="B29" s="30">
        <v>0</v>
      </c>
      <c r="C29" s="19"/>
    </row>
    <row r="30" spans="1:11" x14ac:dyDescent="0.35">
      <c r="A30" s="2" t="s">
        <v>27</v>
      </c>
      <c r="B30" s="12" t="s">
        <v>53</v>
      </c>
      <c r="C30" s="12" t="s">
        <v>6</v>
      </c>
      <c r="D30" s="29"/>
    </row>
    <row r="31" spans="1:11" x14ac:dyDescent="0.35">
      <c r="A31" s="32" t="s">
        <v>28</v>
      </c>
      <c r="B31" s="33">
        <f>IF(B28&lt;B24,B24+B25+B26,B28+B25+B26)</f>
        <v>0</v>
      </c>
      <c r="C31" s="34">
        <f>IF(B24-B28&lt;0,ROUND((((B28+B25+B26)/$C$6*$B$6)*$I$1),2),ROUND(((B27/$C$6*$B$6)*$I$1),2))</f>
        <v>0</v>
      </c>
    </row>
    <row r="32" spans="1:11" x14ac:dyDescent="0.35">
      <c r="A32" s="35"/>
      <c r="B32" s="36"/>
      <c r="C32" s="37"/>
    </row>
    <row r="33" spans="1:12" x14ac:dyDescent="0.35">
      <c r="A33" s="32" t="s">
        <v>7</v>
      </c>
      <c r="B33" s="33">
        <f>IF(B24-B28&lt;0,B28,IF(B24&gt;B29,B29,B24))</f>
        <v>0</v>
      </c>
      <c r="C33" s="34">
        <f>ROUND((((B33/$C$6*$B$6)/12)*$I$1),2)</f>
        <v>0</v>
      </c>
    </row>
    <row r="34" spans="1:12" x14ac:dyDescent="0.35">
      <c r="A34" s="35" t="s">
        <v>29</v>
      </c>
      <c r="B34" s="38">
        <f>B25</f>
        <v>0</v>
      </c>
      <c r="C34" s="39">
        <f>ROUND(C25/12,2)</f>
        <v>0</v>
      </c>
    </row>
    <row r="35" spans="1:12" x14ac:dyDescent="0.35">
      <c r="A35" s="35" t="s">
        <v>59</v>
      </c>
      <c r="B35" s="38">
        <f>B26</f>
        <v>0</v>
      </c>
      <c r="C35" s="39">
        <f>ROUND(C26/12,2)</f>
        <v>0</v>
      </c>
    </row>
    <row r="36" spans="1:12" x14ac:dyDescent="0.35">
      <c r="A36" s="40" t="s">
        <v>30</v>
      </c>
      <c r="B36" s="41"/>
      <c r="C36" s="42">
        <f>C34+C33+C35</f>
        <v>0</v>
      </c>
    </row>
    <row r="37" spans="1:12" x14ac:dyDescent="0.35">
      <c r="A37" s="35" t="s">
        <v>46</v>
      </c>
      <c r="B37" s="38">
        <f>IF(B29-B24&lt;0,B24-B29,0)</f>
        <v>0</v>
      </c>
      <c r="C37" s="37"/>
    </row>
    <row r="38" spans="1:12" x14ac:dyDescent="0.35">
      <c r="A38" s="40" t="s">
        <v>31</v>
      </c>
      <c r="B38" s="43"/>
      <c r="C38" s="42">
        <f>C31-C19</f>
        <v>0</v>
      </c>
      <c r="L38" s="60" t="s">
        <v>95</v>
      </c>
    </row>
  </sheetData>
  <sheetProtection algorithmName="SHA-512" hashValue="Vti3r1BUYr8QqVddLvp67tY+4tqTIwF0krwKGEf2a3rzBOtgkGiZnu1RHUjjIKiUcxllAcCrcd6TZXTysdhvTA==" saltValue="8FRJHfLQu8uA55hOCfGFqg==" spinCount="100000" sheet="1" objects="1" scenarios="1"/>
  <pageMargins left="0.19685039370078741" right="0.19685039370078741" top="0.19685039370078741" bottom="0.1968503937007874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5A5D9-E6D4-4ACB-AC48-514CC2753E4E}">
  <dimension ref="A1:K40"/>
  <sheetViews>
    <sheetView workbookViewId="0">
      <selection activeCell="A3" sqref="A3"/>
    </sheetView>
  </sheetViews>
  <sheetFormatPr defaultRowHeight="15.5" x14ac:dyDescent="0.35"/>
  <cols>
    <col min="1" max="1" width="37.08203125" customWidth="1"/>
    <col min="2" max="2" width="12" customWidth="1"/>
    <col min="3" max="3" width="11.58203125" customWidth="1"/>
    <col min="5" max="5" width="8.83203125" customWidth="1"/>
    <col min="7" max="7" width="5.58203125" customWidth="1"/>
    <col min="8" max="8" width="14.08203125" customWidth="1"/>
    <col min="10" max="10" width="7.58203125" customWidth="1"/>
    <col min="11" max="11" width="11" customWidth="1"/>
    <col min="257" max="257" width="37.08203125" customWidth="1"/>
    <col min="258" max="258" width="12" customWidth="1"/>
    <col min="259" max="259" width="11.58203125" customWidth="1"/>
    <col min="261" max="261" width="8.83203125" customWidth="1"/>
    <col min="263" max="263" width="5.58203125" customWidth="1"/>
    <col min="264" max="264" width="14.08203125" customWidth="1"/>
    <col min="513" max="513" width="37.08203125" customWidth="1"/>
    <col min="514" max="514" width="12" customWidth="1"/>
    <col min="515" max="515" width="11.58203125" customWidth="1"/>
    <col min="517" max="517" width="8.83203125" customWidth="1"/>
    <col min="519" max="519" width="5.58203125" customWidth="1"/>
    <col min="520" max="520" width="14.08203125" customWidth="1"/>
    <col min="769" max="769" width="37.08203125" customWidth="1"/>
    <col min="770" max="770" width="12" customWidth="1"/>
    <col min="771" max="771" width="11.58203125" customWidth="1"/>
    <col min="773" max="773" width="8.83203125" customWidth="1"/>
    <col min="775" max="775" width="5.58203125" customWidth="1"/>
    <col min="776" max="776" width="14.08203125" customWidth="1"/>
    <col min="1025" max="1025" width="37.08203125" customWidth="1"/>
    <col min="1026" max="1026" width="12" customWidth="1"/>
    <col min="1027" max="1027" width="11.58203125" customWidth="1"/>
    <col min="1029" max="1029" width="8.83203125" customWidth="1"/>
    <col min="1031" max="1031" width="5.58203125" customWidth="1"/>
    <col min="1032" max="1032" width="14.08203125" customWidth="1"/>
    <col min="1281" max="1281" width="37.08203125" customWidth="1"/>
    <col min="1282" max="1282" width="12" customWidth="1"/>
    <col min="1283" max="1283" width="11.58203125" customWidth="1"/>
    <col min="1285" max="1285" width="8.83203125" customWidth="1"/>
    <col min="1287" max="1287" width="5.58203125" customWidth="1"/>
    <col min="1288" max="1288" width="14.08203125" customWidth="1"/>
    <col min="1537" max="1537" width="37.08203125" customWidth="1"/>
    <col min="1538" max="1538" width="12" customWidth="1"/>
    <col min="1539" max="1539" width="11.58203125" customWidth="1"/>
    <col min="1541" max="1541" width="8.83203125" customWidth="1"/>
    <col min="1543" max="1543" width="5.58203125" customWidth="1"/>
    <col min="1544" max="1544" width="14.08203125" customWidth="1"/>
    <col min="1793" max="1793" width="37.08203125" customWidth="1"/>
    <col min="1794" max="1794" width="12" customWidth="1"/>
    <col min="1795" max="1795" width="11.58203125" customWidth="1"/>
    <col min="1797" max="1797" width="8.83203125" customWidth="1"/>
    <col min="1799" max="1799" width="5.58203125" customWidth="1"/>
    <col min="1800" max="1800" width="14.08203125" customWidth="1"/>
    <col min="2049" max="2049" width="37.08203125" customWidth="1"/>
    <col min="2050" max="2050" width="12" customWidth="1"/>
    <col min="2051" max="2051" width="11.58203125" customWidth="1"/>
    <col min="2053" max="2053" width="8.83203125" customWidth="1"/>
    <col min="2055" max="2055" width="5.58203125" customWidth="1"/>
    <col min="2056" max="2056" width="14.08203125" customWidth="1"/>
    <col min="2305" max="2305" width="37.08203125" customWidth="1"/>
    <col min="2306" max="2306" width="12" customWidth="1"/>
    <col min="2307" max="2307" width="11.58203125" customWidth="1"/>
    <col min="2309" max="2309" width="8.83203125" customWidth="1"/>
    <col min="2311" max="2311" width="5.58203125" customWidth="1"/>
    <col min="2312" max="2312" width="14.08203125" customWidth="1"/>
    <col min="2561" max="2561" width="37.08203125" customWidth="1"/>
    <col min="2562" max="2562" width="12" customWidth="1"/>
    <col min="2563" max="2563" width="11.58203125" customWidth="1"/>
    <col min="2565" max="2565" width="8.83203125" customWidth="1"/>
    <col min="2567" max="2567" width="5.58203125" customWidth="1"/>
    <col min="2568" max="2568" width="14.08203125" customWidth="1"/>
    <col min="2817" max="2817" width="37.08203125" customWidth="1"/>
    <col min="2818" max="2818" width="12" customWidth="1"/>
    <col min="2819" max="2819" width="11.58203125" customWidth="1"/>
    <col min="2821" max="2821" width="8.83203125" customWidth="1"/>
    <col min="2823" max="2823" width="5.58203125" customWidth="1"/>
    <col min="2824" max="2824" width="14.08203125" customWidth="1"/>
    <col min="3073" max="3073" width="37.08203125" customWidth="1"/>
    <col min="3074" max="3074" width="12" customWidth="1"/>
    <col min="3075" max="3075" width="11.58203125" customWidth="1"/>
    <col min="3077" max="3077" width="8.83203125" customWidth="1"/>
    <col min="3079" max="3079" width="5.58203125" customWidth="1"/>
    <col min="3080" max="3080" width="14.08203125" customWidth="1"/>
    <col min="3329" max="3329" width="37.08203125" customWidth="1"/>
    <col min="3330" max="3330" width="12" customWidth="1"/>
    <col min="3331" max="3331" width="11.58203125" customWidth="1"/>
    <col min="3333" max="3333" width="8.83203125" customWidth="1"/>
    <col min="3335" max="3335" width="5.58203125" customWidth="1"/>
    <col min="3336" max="3336" width="14.08203125" customWidth="1"/>
    <col min="3585" max="3585" width="37.08203125" customWidth="1"/>
    <col min="3586" max="3586" width="12" customWidth="1"/>
    <col min="3587" max="3587" width="11.58203125" customWidth="1"/>
    <col min="3589" max="3589" width="8.83203125" customWidth="1"/>
    <col min="3591" max="3591" width="5.58203125" customWidth="1"/>
    <col min="3592" max="3592" width="14.08203125" customWidth="1"/>
    <col min="3841" max="3841" width="37.08203125" customWidth="1"/>
    <col min="3842" max="3842" width="12" customWidth="1"/>
    <col min="3843" max="3843" width="11.58203125" customWidth="1"/>
    <col min="3845" max="3845" width="8.83203125" customWidth="1"/>
    <col min="3847" max="3847" width="5.58203125" customWidth="1"/>
    <col min="3848" max="3848" width="14.08203125" customWidth="1"/>
    <col min="4097" max="4097" width="37.08203125" customWidth="1"/>
    <col min="4098" max="4098" width="12" customWidth="1"/>
    <col min="4099" max="4099" width="11.58203125" customWidth="1"/>
    <col min="4101" max="4101" width="8.83203125" customWidth="1"/>
    <col min="4103" max="4103" width="5.58203125" customWidth="1"/>
    <col min="4104" max="4104" width="14.08203125" customWidth="1"/>
    <col min="4353" max="4353" width="37.08203125" customWidth="1"/>
    <col min="4354" max="4354" width="12" customWidth="1"/>
    <col min="4355" max="4355" width="11.58203125" customWidth="1"/>
    <col min="4357" max="4357" width="8.83203125" customWidth="1"/>
    <col min="4359" max="4359" width="5.58203125" customWidth="1"/>
    <col min="4360" max="4360" width="14.08203125" customWidth="1"/>
    <col min="4609" max="4609" width="37.08203125" customWidth="1"/>
    <col min="4610" max="4610" width="12" customWidth="1"/>
    <col min="4611" max="4611" width="11.58203125" customWidth="1"/>
    <col min="4613" max="4613" width="8.83203125" customWidth="1"/>
    <col min="4615" max="4615" width="5.58203125" customWidth="1"/>
    <col min="4616" max="4616" width="14.08203125" customWidth="1"/>
    <col min="4865" max="4865" width="37.08203125" customWidth="1"/>
    <col min="4866" max="4866" width="12" customWidth="1"/>
    <col min="4867" max="4867" width="11.58203125" customWidth="1"/>
    <col min="4869" max="4869" width="8.83203125" customWidth="1"/>
    <col min="4871" max="4871" width="5.58203125" customWidth="1"/>
    <col min="4872" max="4872" width="14.08203125" customWidth="1"/>
    <col min="5121" max="5121" width="37.08203125" customWidth="1"/>
    <col min="5122" max="5122" width="12" customWidth="1"/>
    <col min="5123" max="5123" width="11.58203125" customWidth="1"/>
    <col min="5125" max="5125" width="8.83203125" customWidth="1"/>
    <col min="5127" max="5127" width="5.58203125" customWidth="1"/>
    <col min="5128" max="5128" width="14.08203125" customWidth="1"/>
    <col min="5377" max="5377" width="37.08203125" customWidth="1"/>
    <col min="5378" max="5378" width="12" customWidth="1"/>
    <col min="5379" max="5379" width="11.58203125" customWidth="1"/>
    <col min="5381" max="5381" width="8.83203125" customWidth="1"/>
    <col min="5383" max="5383" width="5.58203125" customWidth="1"/>
    <col min="5384" max="5384" width="14.08203125" customWidth="1"/>
    <col min="5633" max="5633" width="37.08203125" customWidth="1"/>
    <col min="5634" max="5634" width="12" customWidth="1"/>
    <col min="5635" max="5635" width="11.58203125" customWidth="1"/>
    <col min="5637" max="5637" width="8.83203125" customWidth="1"/>
    <col min="5639" max="5639" width="5.58203125" customWidth="1"/>
    <col min="5640" max="5640" width="14.08203125" customWidth="1"/>
    <col min="5889" max="5889" width="37.08203125" customWidth="1"/>
    <col min="5890" max="5890" width="12" customWidth="1"/>
    <col min="5891" max="5891" width="11.58203125" customWidth="1"/>
    <col min="5893" max="5893" width="8.83203125" customWidth="1"/>
    <col min="5895" max="5895" width="5.58203125" customWidth="1"/>
    <col min="5896" max="5896" width="14.08203125" customWidth="1"/>
    <col min="6145" max="6145" width="37.08203125" customWidth="1"/>
    <col min="6146" max="6146" width="12" customWidth="1"/>
    <col min="6147" max="6147" width="11.58203125" customWidth="1"/>
    <col min="6149" max="6149" width="8.83203125" customWidth="1"/>
    <col min="6151" max="6151" width="5.58203125" customWidth="1"/>
    <col min="6152" max="6152" width="14.08203125" customWidth="1"/>
    <col min="6401" max="6401" width="37.08203125" customWidth="1"/>
    <col min="6402" max="6402" width="12" customWidth="1"/>
    <col min="6403" max="6403" width="11.58203125" customWidth="1"/>
    <col min="6405" max="6405" width="8.83203125" customWidth="1"/>
    <col min="6407" max="6407" width="5.58203125" customWidth="1"/>
    <col min="6408" max="6408" width="14.08203125" customWidth="1"/>
    <col min="6657" max="6657" width="37.08203125" customWidth="1"/>
    <col min="6658" max="6658" width="12" customWidth="1"/>
    <col min="6659" max="6659" width="11.58203125" customWidth="1"/>
    <col min="6661" max="6661" width="8.83203125" customWidth="1"/>
    <col min="6663" max="6663" width="5.58203125" customWidth="1"/>
    <col min="6664" max="6664" width="14.08203125" customWidth="1"/>
    <col min="6913" max="6913" width="37.08203125" customWidth="1"/>
    <col min="6914" max="6914" width="12" customWidth="1"/>
    <col min="6915" max="6915" width="11.58203125" customWidth="1"/>
    <col min="6917" max="6917" width="8.83203125" customWidth="1"/>
    <col min="6919" max="6919" width="5.58203125" customWidth="1"/>
    <col min="6920" max="6920" width="14.08203125" customWidth="1"/>
    <col min="7169" max="7169" width="37.08203125" customWidth="1"/>
    <col min="7170" max="7170" width="12" customWidth="1"/>
    <col min="7171" max="7171" width="11.58203125" customWidth="1"/>
    <col min="7173" max="7173" width="8.83203125" customWidth="1"/>
    <col min="7175" max="7175" width="5.58203125" customWidth="1"/>
    <col min="7176" max="7176" width="14.08203125" customWidth="1"/>
    <col min="7425" max="7425" width="37.08203125" customWidth="1"/>
    <col min="7426" max="7426" width="12" customWidth="1"/>
    <col min="7427" max="7427" width="11.58203125" customWidth="1"/>
    <col min="7429" max="7429" width="8.83203125" customWidth="1"/>
    <col min="7431" max="7431" width="5.58203125" customWidth="1"/>
    <col min="7432" max="7432" width="14.08203125" customWidth="1"/>
    <col min="7681" max="7681" width="37.08203125" customWidth="1"/>
    <col min="7682" max="7682" width="12" customWidth="1"/>
    <col min="7683" max="7683" width="11.58203125" customWidth="1"/>
    <col min="7685" max="7685" width="8.83203125" customWidth="1"/>
    <col min="7687" max="7687" width="5.58203125" customWidth="1"/>
    <col min="7688" max="7688" width="14.08203125" customWidth="1"/>
    <col min="7937" max="7937" width="37.08203125" customWidth="1"/>
    <col min="7938" max="7938" width="12" customWidth="1"/>
    <col min="7939" max="7939" width="11.58203125" customWidth="1"/>
    <col min="7941" max="7941" width="8.83203125" customWidth="1"/>
    <col min="7943" max="7943" width="5.58203125" customWidth="1"/>
    <col min="7944" max="7944" width="14.08203125" customWidth="1"/>
    <col min="8193" max="8193" width="37.08203125" customWidth="1"/>
    <col min="8194" max="8194" width="12" customWidth="1"/>
    <col min="8195" max="8195" width="11.58203125" customWidth="1"/>
    <col min="8197" max="8197" width="8.83203125" customWidth="1"/>
    <col min="8199" max="8199" width="5.58203125" customWidth="1"/>
    <col min="8200" max="8200" width="14.08203125" customWidth="1"/>
    <col min="8449" max="8449" width="37.08203125" customWidth="1"/>
    <col min="8450" max="8450" width="12" customWidth="1"/>
    <col min="8451" max="8451" width="11.58203125" customWidth="1"/>
    <col min="8453" max="8453" width="8.83203125" customWidth="1"/>
    <col min="8455" max="8455" width="5.58203125" customWidth="1"/>
    <col min="8456" max="8456" width="14.08203125" customWidth="1"/>
    <col min="8705" max="8705" width="37.08203125" customWidth="1"/>
    <col min="8706" max="8706" width="12" customWidth="1"/>
    <col min="8707" max="8707" width="11.58203125" customWidth="1"/>
    <col min="8709" max="8709" width="8.83203125" customWidth="1"/>
    <col min="8711" max="8711" width="5.58203125" customWidth="1"/>
    <col min="8712" max="8712" width="14.08203125" customWidth="1"/>
    <col min="8961" max="8961" width="37.08203125" customWidth="1"/>
    <col min="8962" max="8962" width="12" customWidth="1"/>
    <col min="8963" max="8963" width="11.58203125" customWidth="1"/>
    <col min="8965" max="8965" width="8.83203125" customWidth="1"/>
    <col min="8967" max="8967" width="5.58203125" customWidth="1"/>
    <col min="8968" max="8968" width="14.08203125" customWidth="1"/>
    <col min="9217" max="9217" width="37.08203125" customWidth="1"/>
    <col min="9218" max="9218" width="12" customWidth="1"/>
    <col min="9219" max="9219" width="11.58203125" customWidth="1"/>
    <col min="9221" max="9221" width="8.83203125" customWidth="1"/>
    <col min="9223" max="9223" width="5.58203125" customWidth="1"/>
    <col min="9224" max="9224" width="14.08203125" customWidth="1"/>
    <col min="9473" max="9473" width="37.08203125" customWidth="1"/>
    <col min="9474" max="9474" width="12" customWidth="1"/>
    <col min="9475" max="9475" width="11.58203125" customWidth="1"/>
    <col min="9477" max="9477" width="8.83203125" customWidth="1"/>
    <col min="9479" max="9479" width="5.58203125" customWidth="1"/>
    <col min="9480" max="9480" width="14.08203125" customWidth="1"/>
    <col min="9729" max="9729" width="37.08203125" customWidth="1"/>
    <col min="9730" max="9730" width="12" customWidth="1"/>
    <col min="9731" max="9731" width="11.58203125" customWidth="1"/>
    <col min="9733" max="9733" width="8.83203125" customWidth="1"/>
    <col min="9735" max="9735" width="5.58203125" customWidth="1"/>
    <col min="9736" max="9736" width="14.08203125" customWidth="1"/>
    <col min="9985" max="9985" width="37.08203125" customWidth="1"/>
    <col min="9986" max="9986" width="12" customWidth="1"/>
    <col min="9987" max="9987" width="11.58203125" customWidth="1"/>
    <col min="9989" max="9989" width="8.83203125" customWidth="1"/>
    <col min="9991" max="9991" width="5.58203125" customWidth="1"/>
    <col min="9992" max="9992" width="14.08203125" customWidth="1"/>
    <col min="10241" max="10241" width="37.08203125" customWidth="1"/>
    <col min="10242" max="10242" width="12" customWidth="1"/>
    <col min="10243" max="10243" width="11.58203125" customWidth="1"/>
    <col min="10245" max="10245" width="8.83203125" customWidth="1"/>
    <col min="10247" max="10247" width="5.58203125" customWidth="1"/>
    <col min="10248" max="10248" width="14.08203125" customWidth="1"/>
    <col min="10497" max="10497" width="37.08203125" customWidth="1"/>
    <col min="10498" max="10498" width="12" customWidth="1"/>
    <col min="10499" max="10499" width="11.58203125" customWidth="1"/>
    <col min="10501" max="10501" width="8.83203125" customWidth="1"/>
    <col min="10503" max="10503" width="5.58203125" customWidth="1"/>
    <col min="10504" max="10504" width="14.08203125" customWidth="1"/>
    <col min="10753" max="10753" width="37.08203125" customWidth="1"/>
    <col min="10754" max="10754" width="12" customWidth="1"/>
    <col min="10755" max="10755" width="11.58203125" customWidth="1"/>
    <col min="10757" max="10757" width="8.83203125" customWidth="1"/>
    <col min="10759" max="10759" width="5.58203125" customWidth="1"/>
    <col min="10760" max="10760" width="14.08203125" customWidth="1"/>
    <col min="11009" max="11009" width="37.08203125" customWidth="1"/>
    <col min="11010" max="11010" width="12" customWidth="1"/>
    <col min="11011" max="11011" width="11.58203125" customWidth="1"/>
    <col min="11013" max="11013" width="8.83203125" customWidth="1"/>
    <col min="11015" max="11015" width="5.58203125" customWidth="1"/>
    <col min="11016" max="11016" width="14.08203125" customWidth="1"/>
    <col min="11265" max="11265" width="37.08203125" customWidth="1"/>
    <col min="11266" max="11266" width="12" customWidth="1"/>
    <col min="11267" max="11267" width="11.58203125" customWidth="1"/>
    <col min="11269" max="11269" width="8.83203125" customWidth="1"/>
    <col min="11271" max="11271" width="5.58203125" customWidth="1"/>
    <col min="11272" max="11272" width="14.08203125" customWidth="1"/>
    <col min="11521" max="11521" width="37.08203125" customWidth="1"/>
    <col min="11522" max="11522" width="12" customWidth="1"/>
    <col min="11523" max="11523" width="11.58203125" customWidth="1"/>
    <col min="11525" max="11525" width="8.83203125" customWidth="1"/>
    <col min="11527" max="11527" width="5.58203125" customWidth="1"/>
    <col min="11528" max="11528" width="14.08203125" customWidth="1"/>
    <col min="11777" max="11777" width="37.08203125" customWidth="1"/>
    <col min="11778" max="11778" width="12" customWidth="1"/>
    <col min="11779" max="11779" width="11.58203125" customWidth="1"/>
    <col min="11781" max="11781" width="8.83203125" customWidth="1"/>
    <col min="11783" max="11783" width="5.58203125" customWidth="1"/>
    <col min="11784" max="11784" width="14.08203125" customWidth="1"/>
    <col min="12033" max="12033" width="37.08203125" customWidth="1"/>
    <col min="12034" max="12034" width="12" customWidth="1"/>
    <col min="12035" max="12035" width="11.58203125" customWidth="1"/>
    <col min="12037" max="12037" width="8.83203125" customWidth="1"/>
    <col min="12039" max="12039" width="5.58203125" customWidth="1"/>
    <col min="12040" max="12040" width="14.08203125" customWidth="1"/>
    <col min="12289" max="12289" width="37.08203125" customWidth="1"/>
    <col min="12290" max="12290" width="12" customWidth="1"/>
    <col min="12291" max="12291" width="11.58203125" customWidth="1"/>
    <col min="12293" max="12293" width="8.83203125" customWidth="1"/>
    <col min="12295" max="12295" width="5.58203125" customWidth="1"/>
    <col min="12296" max="12296" width="14.08203125" customWidth="1"/>
    <col min="12545" max="12545" width="37.08203125" customWidth="1"/>
    <col min="12546" max="12546" width="12" customWidth="1"/>
    <col min="12547" max="12547" width="11.58203125" customWidth="1"/>
    <col min="12549" max="12549" width="8.83203125" customWidth="1"/>
    <col min="12551" max="12551" width="5.58203125" customWidth="1"/>
    <col min="12552" max="12552" width="14.08203125" customWidth="1"/>
    <col min="12801" max="12801" width="37.08203125" customWidth="1"/>
    <col min="12802" max="12802" width="12" customWidth="1"/>
    <col min="12803" max="12803" width="11.58203125" customWidth="1"/>
    <col min="12805" max="12805" width="8.83203125" customWidth="1"/>
    <col min="12807" max="12807" width="5.58203125" customWidth="1"/>
    <col min="12808" max="12808" width="14.08203125" customWidth="1"/>
    <col min="13057" max="13057" width="37.08203125" customWidth="1"/>
    <col min="13058" max="13058" width="12" customWidth="1"/>
    <col min="13059" max="13059" width="11.58203125" customWidth="1"/>
    <col min="13061" max="13061" width="8.83203125" customWidth="1"/>
    <col min="13063" max="13063" width="5.58203125" customWidth="1"/>
    <col min="13064" max="13064" width="14.08203125" customWidth="1"/>
    <col min="13313" max="13313" width="37.08203125" customWidth="1"/>
    <col min="13314" max="13314" width="12" customWidth="1"/>
    <col min="13315" max="13315" width="11.58203125" customWidth="1"/>
    <col min="13317" max="13317" width="8.83203125" customWidth="1"/>
    <col min="13319" max="13319" width="5.58203125" customWidth="1"/>
    <col min="13320" max="13320" width="14.08203125" customWidth="1"/>
    <col min="13569" max="13569" width="37.08203125" customWidth="1"/>
    <col min="13570" max="13570" width="12" customWidth="1"/>
    <col min="13571" max="13571" width="11.58203125" customWidth="1"/>
    <col min="13573" max="13573" width="8.83203125" customWidth="1"/>
    <col min="13575" max="13575" width="5.58203125" customWidth="1"/>
    <col min="13576" max="13576" width="14.08203125" customWidth="1"/>
    <col min="13825" max="13825" width="37.08203125" customWidth="1"/>
    <col min="13826" max="13826" width="12" customWidth="1"/>
    <col min="13827" max="13827" width="11.58203125" customWidth="1"/>
    <col min="13829" max="13829" width="8.83203125" customWidth="1"/>
    <col min="13831" max="13831" width="5.58203125" customWidth="1"/>
    <col min="13832" max="13832" width="14.08203125" customWidth="1"/>
    <col min="14081" max="14081" width="37.08203125" customWidth="1"/>
    <col min="14082" max="14082" width="12" customWidth="1"/>
    <col min="14083" max="14083" width="11.58203125" customWidth="1"/>
    <col min="14085" max="14085" width="8.83203125" customWidth="1"/>
    <col min="14087" max="14087" width="5.58203125" customWidth="1"/>
    <col min="14088" max="14088" width="14.08203125" customWidth="1"/>
    <col min="14337" max="14337" width="37.08203125" customWidth="1"/>
    <col min="14338" max="14338" width="12" customWidth="1"/>
    <col min="14339" max="14339" width="11.58203125" customWidth="1"/>
    <col min="14341" max="14341" width="8.83203125" customWidth="1"/>
    <col min="14343" max="14343" width="5.58203125" customWidth="1"/>
    <col min="14344" max="14344" width="14.08203125" customWidth="1"/>
    <col min="14593" max="14593" width="37.08203125" customWidth="1"/>
    <col min="14594" max="14594" width="12" customWidth="1"/>
    <col min="14595" max="14595" width="11.58203125" customWidth="1"/>
    <col min="14597" max="14597" width="8.83203125" customWidth="1"/>
    <col min="14599" max="14599" width="5.58203125" customWidth="1"/>
    <col min="14600" max="14600" width="14.08203125" customWidth="1"/>
    <col min="14849" max="14849" width="37.08203125" customWidth="1"/>
    <col min="14850" max="14850" width="12" customWidth="1"/>
    <col min="14851" max="14851" width="11.58203125" customWidth="1"/>
    <col min="14853" max="14853" width="8.83203125" customWidth="1"/>
    <col min="14855" max="14855" width="5.58203125" customWidth="1"/>
    <col min="14856" max="14856" width="14.08203125" customWidth="1"/>
    <col min="15105" max="15105" width="37.08203125" customWidth="1"/>
    <col min="15106" max="15106" width="12" customWidth="1"/>
    <col min="15107" max="15107" width="11.58203125" customWidth="1"/>
    <col min="15109" max="15109" width="8.83203125" customWidth="1"/>
    <col min="15111" max="15111" width="5.58203125" customWidth="1"/>
    <col min="15112" max="15112" width="14.08203125" customWidth="1"/>
    <col min="15361" max="15361" width="37.08203125" customWidth="1"/>
    <col min="15362" max="15362" width="12" customWidth="1"/>
    <col min="15363" max="15363" width="11.58203125" customWidth="1"/>
    <col min="15365" max="15365" width="8.83203125" customWidth="1"/>
    <col min="15367" max="15367" width="5.58203125" customWidth="1"/>
    <col min="15368" max="15368" width="14.08203125" customWidth="1"/>
    <col min="15617" max="15617" width="37.08203125" customWidth="1"/>
    <col min="15618" max="15618" width="12" customWidth="1"/>
    <col min="15619" max="15619" width="11.58203125" customWidth="1"/>
    <col min="15621" max="15621" width="8.83203125" customWidth="1"/>
    <col min="15623" max="15623" width="5.58203125" customWidth="1"/>
    <col min="15624" max="15624" width="14.08203125" customWidth="1"/>
    <col min="15873" max="15873" width="37.08203125" customWidth="1"/>
    <col min="15874" max="15874" width="12" customWidth="1"/>
    <col min="15875" max="15875" width="11.58203125" customWidth="1"/>
    <col min="15877" max="15877" width="8.83203125" customWidth="1"/>
    <col min="15879" max="15879" width="5.58203125" customWidth="1"/>
    <col min="15880" max="15880" width="14.08203125" customWidth="1"/>
    <col min="16129" max="16129" width="37.08203125" customWidth="1"/>
    <col min="16130" max="16130" width="12" customWidth="1"/>
    <col min="16131" max="16131" width="11.58203125" customWidth="1"/>
    <col min="16133" max="16133" width="8.83203125" customWidth="1"/>
    <col min="16135" max="16135" width="5.58203125" customWidth="1"/>
    <col min="16136" max="16136" width="14.08203125" customWidth="1"/>
  </cols>
  <sheetData>
    <row r="1" spans="1:11" ht="20.5" x14ac:dyDescent="0.45">
      <c r="A1" s="1" t="s">
        <v>32</v>
      </c>
      <c r="I1">
        <v>1.228067</v>
      </c>
      <c r="J1" t="s">
        <v>1</v>
      </c>
    </row>
    <row r="2" spans="1:11" ht="16" thickBot="1" x14ac:dyDescent="0.4">
      <c r="A2" s="2" t="s">
        <v>2</v>
      </c>
      <c r="H2" s="2" t="s">
        <v>3</v>
      </c>
    </row>
    <row r="3" spans="1:11" x14ac:dyDescent="0.35">
      <c r="A3" s="3"/>
      <c r="H3" s="4"/>
      <c r="I3" s="5"/>
      <c r="J3" s="67"/>
    </row>
    <row r="4" spans="1:11" ht="16" thickBot="1" x14ac:dyDescent="0.4">
      <c r="A4" s="6"/>
      <c r="H4" s="7" t="s">
        <v>108</v>
      </c>
      <c r="I4" s="8"/>
      <c r="J4" s="9"/>
    </row>
    <row r="5" spans="1:11" ht="9" customHeight="1" x14ac:dyDescent="0.35"/>
    <row r="6" spans="1:11" x14ac:dyDescent="0.35">
      <c r="A6" t="s">
        <v>4</v>
      </c>
      <c r="B6" s="45">
        <v>0</v>
      </c>
      <c r="C6">
        <v>37</v>
      </c>
    </row>
    <row r="7" spans="1:11" ht="7.5" customHeight="1" x14ac:dyDescent="0.35">
      <c r="B7" s="19"/>
    </row>
    <row r="8" spans="1:11" x14ac:dyDescent="0.35">
      <c r="A8" s="2" t="s">
        <v>33</v>
      </c>
      <c r="B8" s="2" t="s">
        <v>34</v>
      </c>
      <c r="C8" s="2" t="s">
        <v>35</v>
      </c>
      <c r="H8" t="s">
        <v>36</v>
      </c>
    </row>
    <row r="9" spans="1:11" x14ac:dyDescent="0.35">
      <c r="A9" t="s">
        <v>84</v>
      </c>
      <c r="B9" s="13"/>
      <c r="C9" s="14">
        <v>0</v>
      </c>
      <c r="H9" t="s">
        <v>37</v>
      </c>
      <c r="I9" s="29" t="s">
        <v>38</v>
      </c>
      <c r="K9" t="s">
        <v>68</v>
      </c>
    </row>
    <row r="10" spans="1:11" x14ac:dyDescent="0.35">
      <c r="A10" t="s">
        <v>14</v>
      </c>
      <c r="B10" s="16">
        <f>IF($B$6=0,0,ROUND(((C10*12)/$B$6*$C$6)/$I$1,0))</f>
        <v>0</v>
      </c>
      <c r="C10" s="17">
        <v>0</v>
      </c>
      <c r="H10" s="20">
        <v>285240</v>
      </c>
      <c r="I10">
        <v>4</v>
      </c>
      <c r="J10" t="s">
        <v>39</v>
      </c>
      <c r="K10" s="54" t="s">
        <v>75</v>
      </c>
    </row>
    <row r="11" spans="1:11" x14ac:dyDescent="0.35">
      <c r="A11" t="s">
        <v>14</v>
      </c>
      <c r="B11" s="16">
        <f>IF($B$6=0,0,ROUND(((C11*12)/$B$6*$C$6)/$I$1,0))</f>
        <v>0</v>
      </c>
      <c r="C11" s="17">
        <v>0</v>
      </c>
      <c r="H11" s="20">
        <v>307417</v>
      </c>
      <c r="I11">
        <v>5</v>
      </c>
      <c r="K11" s="55" t="s">
        <v>79</v>
      </c>
    </row>
    <row r="12" spans="1:11" x14ac:dyDescent="0.35">
      <c r="A12" t="s">
        <v>14</v>
      </c>
      <c r="B12" s="16">
        <f>IF($B$6=0,0,ROUND(((C12*12)/$B$6*$C$6)/$I$1,0))</f>
        <v>0</v>
      </c>
      <c r="C12" s="17">
        <v>0</v>
      </c>
      <c r="H12" s="20">
        <v>327643</v>
      </c>
      <c r="I12">
        <v>6</v>
      </c>
      <c r="K12" s="55" t="s">
        <v>69</v>
      </c>
    </row>
    <row r="13" spans="1:11" x14ac:dyDescent="0.35">
      <c r="A13" t="s">
        <v>14</v>
      </c>
      <c r="B13" s="16">
        <f>IF($B$6=0,0,ROUND(((C13*12)/$B$6*$C$6)/$I$1,0))</f>
        <v>0</v>
      </c>
      <c r="C13" s="17">
        <v>0</v>
      </c>
      <c r="H13" s="20">
        <v>347571</v>
      </c>
      <c r="I13">
        <v>8</v>
      </c>
      <c r="K13" s="55" t="s">
        <v>110</v>
      </c>
    </row>
    <row r="14" spans="1:11" x14ac:dyDescent="0.35">
      <c r="A14" t="s">
        <v>62</v>
      </c>
      <c r="B14" s="16">
        <f>IF($B$6=0,0,ROUND((C14*12)/$I$1,2))</f>
        <v>0</v>
      </c>
      <c r="C14" s="28">
        <f>(SUM(C9:C13)-(SUM(C9:C13)/1.171))*-1</f>
        <v>0</v>
      </c>
    </row>
    <row r="15" spans="1:11" ht="7.5" customHeight="1" x14ac:dyDescent="0.35"/>
    <row r="16" spans="1:11" x14ac:dyDescent="0.35">
      <c r="A16" s="2" t="s">
        <v>54</v>
      </c>
      <c r="B16" s="12" t="s">
        <v>53</v>
      </c>
      <c r="C16" s="12" t="s">
        <v>6</v>
      </c>
      <c r="H16" t="s">
        <v>40</v>
      </c>
      <c r="I16" s="29" t="s">
        <v>38</v>
      </c>
      <c r="K16" t="s">
        <v>68</v>
      </c>
    </row>
    <row r="17" spans="1:11" x14ac:dyDescent="0.35">
      <c r="A17" s="22" t="s">
        <v>55</v>
      </c>
      <c r="B17" s="23"/>
      <c r="C17" s="24">
        <f>SUM(C8:C14)</f>
        <v>0</v>
      </c>
      <c r="H17" s="20">
        <v>261000</v>
      </c>
      <c r="I17">
        <v>1</v>
      </c>
      <c r="K17" s="54" t="s">
        <v>66</v>
      </c>
    </row>
    <row r="18" spans="1:11" x14ac:dyDescent="0.35">
      <c r="A18" s="25" t="s">
        <v>56</v>
      </c>
      <c r="B18" s="46">
        <f>IF($B$6=0,0,ROUND((C18/$B$6*$C$6)/$I$1,0))</f>
        <v>0</v>
      </c>
      <c r="C18" s="26">
        <f>C17*12</f>
        <v>0</v>
      </c>
      <c r="H18" s="20">
        <v>272000</v>
      </c>
      <c r="I18">
        <v>2</v>
      </c>
      <c r="K18" s="55" t="s">
        <v>67</v>
      </c>
    </row>
    <row r="19" spans="1:11" x14ac:dyDescent="0.35">
      <c r="A19" s="25"/>
      <c r="B19" s="16"/>
      <c r="C19" s="26"/>
      <c r="H19" s="20">
        <v>285240</v>
      </c>
      <c r="I19">
        <v>4</v>
      </c>
      <c r="J19" t="s">
        <v>41</v>
      </c>
      <c r="K19" s="55" t="s">
        <v>77</v>
      </c>
    </row>
    <row r="20" spans="1:11" x14ac:dyDescent="0.35">
      <c r="A20" s="25"/>
      <c r="B20" s="16"/>
      <c r="C20" s="26"/>
      <c r="H20" s="20">
        <v>307417</v>
      </c>
      <c r="I20">
        <v>5</v>
      </c>
      <c r="K20" s="55" t="s">
        <v>78</v>
      </c>
    </row>
    <row r="21" spans="1:11" x14ac:dyDescent="0.35">
      <c r="A21" s="27"/>
      <c r="B21" s="21"/>
      <c r="C21" s="28"/>
      <c r="H21" s="20">
        <v>327643</v>
      </c>
      <c r="I21">
        <v>6</v>
      </c>
      <c r="K21" s="55" t="s">
        <v>111</v>
      </c>
    </row>
    <row r="22" spans="1:11" ht="9.75" customHeight="1" x14ac:dyDescent="0.35">
      <c r="B22" s="19"/>
      <c r="C22" s="19"/>
    </row>
    <row r="23" spans="1:11" x14ac:dyDescent="0.35">
      <c r="A23" s="2" t="s">
        <v>21</v>
      </c>
      <c r="B23" s="12" t="s">
        <v>53</v>
      </c>
      <c r="C23" s="12" t="s">
        <v>6</v>
      </c>
    </row>
    <row r="24" spans="1:11" x14ac:dyDescent="0.35">
      <c r="A24" s="22" t="s">
        <v>43</v>
      </c>
      <c r="B24" s="47">
        <v>0</v>
      </c>
      <c r="C24" s="24">
        <f>ROUND(((B24/$C$6*$B$6)*$I$1),2)</f>
        <v>0</v>
      </c>
      <c r="H24" s="20" t="s">
        <v>15</v>
      </c>
      <c r="I24" s="29" t="s">
        <v>38</v>
      </c>
      <c r="K24" t="s">
        <v>68</v>
      </c>
    </row>
    <row r="25" spans="1:11" x14ac:dyDescent="0.35">
      <c r="A25" s="25" t="s">
        <v>23</v>
      </c>
      <c r="B25" s="30">
        <v>0</v>
      </c>
      <c r="C25" s="26">
        <f>ROUND(((B25/$C$6*$B$6)*$I$1),2)</f>
        <v>0</v>
      </c>
      <c r="H25" s="20">
        <v>36700</v>
      </c>
      <c r="I25">
        <v>1</v>
      </c>
      <c r="K25" s="55" t="s">
        <v>80</v>
      </c>
    </row>
    <row r="26" spans="1:11" x14ac:dyDescent="0.35">
      <c r="A26" s="27" t="s">
        <v>24</v>
      </c>
      <c r="B26" s="21">
        <f>SUM(B24:B25)</f>
        <v>0</v>
      </c>
      <c r="C26" s="28">
        <f>ROUND((B26/$C$6*$B$6)*$I$1,2)</f>
        <v>0</v>
      </c>
      <c r="H26" s="20"/>
      <c r="K26" s="29"/>
    </row>
    <row r="27" spans="1:11" ht="9" customHeight="1" x14ac:dyDescent="0.35">
      <c r="B27" s="19"/>
      <c r="C27" s="19"/>
      <c r="H27" s="20"/>
      <c r="K27" s="29"/>
    </row>
    <row r="28" spans="1:11" x14ac:dyDescent="0.35">
      <c r="A28" s="2" t="s">
        <v>27</v>
      </c>
      <c r="B28" s="12" t="s">
        <v>53</v>
      </c>
      <c r="C28" s="12" t="s">
        <v>6</v>
      </c>
      <c r="H28" s="20">
        <v>41900</v>
      </c>
      <c r="I28">
        <v>2</v>
      </c>
      <c r="K28" s="55" t="s">
        <v>81</v>
      </c>
    </row>
    <row r="29" spans="1:11" x14ac:dyDescent="0.35">
      <c r="A29" s="32" t="s">
        <v>44</v>
      </c>
      <c r="B29" s="33">
        <f>B26</f>
        <v>0</v>
      </c>
      <c r="C29" s="34">
        <f>(B29*$I$1)/$C$6*$B$6</f>
        <v>0</v>
      </c>
      <c r="H29" s="20"/>
      <c r="K29" s="29"/>
    </row>
    <row r="30" spans="1:11" ht="9" customHeight="1" x14ac:dyDescent="0.35">
      <c r="A30" s="35"/>
      <c r="B30" s="36"/>
      <c r="C30" s="37"/>
      <c r="H30" s="20"/>
      <c r="K30" s="29"/>
    </row>
    <row r="31" spans="1:11" x14ac:dyDescent="0.35">
      <c r="A31" s="32" t="s">
        <v>17</v>
      </c>
      <c r="B31" s="33">
        <f>B24</f>
        <v>0</v>
      </c>
      <c r="C31" s="34">
        <f>((B31*$I$1)/$C$6*$B$6)/12</f>
        <v>0</v>
      </c>
      <c r="H31" s="20">
        <v>48500</v>
      </c>
      <c r="I31">
        <v>3</v>
      </c>
      <c r="K31" s="55" t="s">
        <v>82</v>
      </c>
    </row>
    <row r="32" spans="1:11" x14ac:dyDescent="0.35">
      <c r="A32" s="35" t="s">
        <v>15</v>
      </c>
      <c r="B32" s="38">
        <f>B25</f>
        <v>0</v>
      </c>
      <c r="C32" s="39">
        <f>((B32*$I$1)/$C$6*$B$6)/12</f>
        <v>0</v>
      </c>
      <c r="H32" s="20"/>
      <c r="K32" s="29"/>
    </row>
    <row r="33" spans="1:11" x14ac:dyDescent="0.35">
      <c r="A33" s="40" t="s">
        <v>30</v>
      </c>
      <c r="B33" s="43"/>
      <c r="C33" s="42">
        <f>SUM(C31:C32)</f>
        <v>0</v>
      </c>
      <c r="H33" s="20">
        <v>57000</v>
      </c>
      <c r="I33">
        <v>4</v>
      </c>
      <c r="K33" s="55" t="s">
        <v>112</v>
      </c>
    </row>
    <row r="34" spans="1:11" ht="9" customHeight="1" x14ac:dyDescent="0.35">
      <c r="A34" s="35"/>
      <c r="B34" s="38"/>
      <c r="C34" s="39"/>
    </row>
    <row r="35" spans="1:11" x14ac:dyDescent="0.35">
      <c r="A35" s="35" t="s">
        <v>45</v>
      </c>
      <c r="B35" s="38"/>
      <c r="C35" s="39">
        <f>C26-C18</f>
        <v>0</v>
      </c>
    </row>
    <row r="36" spans="1:11" ht="8.25" customHeight="1" x14ac:dyDescent="0.35">
      <c r="A36" s="35"/>
      <c r="B36" s="36"/>
      <c r="C36" s="37"/>
    </row>
    <row r="37" spans="1:11" x14ac:dyDescent="0.35">
      <c r="A37" s="32" t="s">
        <v>46</v>
      </c>
      <c r="B37" s="48"/>
      <c r="C37" s="49"/>
    </row>
    <row r="38" spans="1:11" x14ac:dyDescent="0.35">
      <c r="A38" s="35" t="s">
        <v>47</v>
      </c>
      <c r="B38" s="38">
        <f>B29</f>
        <v>0</v>
      </c>
      <c r="C38" s="39">
        <f>ROUND(((B38/$C$6*$B$6)*$I$1),2)</f>
        <v>0</v>
      </c>
    </row>
    <row r="39" spans="1:11" x14ac:dyDescent="0.35">
      <c r="A39" s="35" t="s">
        <v>48</v>
      </c>
      <c r="B39" s="38"/>
      <c r="C39" s="39">
        <f>C18</f>
        <v>0</v>
      </c>
    </row>
    <row r="40" spans="1:11" x14ac:dyDescent="0.35">
      <c r="A40" s="40" t="s">
        <v>49</v>
      </c>
      <c r="B40" s="43">
        <f>IF(C40&lt;0,0,ROUND(C40/$I$1,2))</f>
        <v>0</v>
      </c>
      <c r="C40" s="42">
        <f>IF(C38-C39&gt;0,0,(C38-C39)*-1)</f>
        <v>0</v>
      </c>
      <c r="K40" s="44" t="s">
        <v>95</v>
      </c>
    </row>
  </sheetData>
  <sheetProtection algorithmName="SHA-512" hashValue="NQEQdOwNZIhZTZE1K8V1PYTSB+61rbmMB3OW3YyADkE9dEd6DggLZbzjshl/tjdkWB9LLuLUMFYmUmrPkrOh6g==" saltValue="+8V+DXnIvbkN/h7novHSnQ==" spinCount="100000" sheet="1" objects="1" scenarios="1"/>
  <pageMargins left="0.19685039370078741" right="0.19685039370078741" top="0.19685039370078741" bottom="0.1968503937007874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F1535-BE1C-4B20-9455-6DC6A3130A0B}">
  <dimension ref="A1:K40"/>
  <sheetViews>
    <sheetView workbookViewId="0">
      <selection activeCell="A3" sqref="A3"/>
    </sheetView>
  </sheetViews>
  <sheetFormatPr defaultRowHeight="15.5" x14ac:dyDescent="0.35"/>
  <cols>
    <col min="1" max="1" width="37.08203125" customWidth="1"/>
    <col min="2" max="2" width="12" customWidth="1"/>
    <col min="3" max="3" width="11.58203125" customWidth="1"/>
    <col min="5" max="5" width="8.83203125" customWidth="1"/>
    <col min="7" max="7" width="5.58203125" customWidth="1"/>
    <col min="8" max="8" width="14.08203125" customWidth="1"/>
    <col min="10" max="10" width="10.25" customWidth="1"/>
    <col min="257" max="257" width="37.08203125" customWidth="1"/>
    <col min="258" max="258" width="12" customWidth="1"/>
    <col min="259" max="259" width="11.58203125" customWidth="1"/>
    <col min="261" max="261" width="8.83203125" customWidth="1"/>
    <col min="263" max="263" width="5.58203125" customWidth="1"/>
    <col min="264" max="264" width="14.08203125" customWidth="1"/>
    <col min="513" max="513" width="37.08203125" customWidth="1"/>
    <col min="514" max="514" width="12" customWidth="1"/>
    <col min="515" max="515" width="11.58203125" customWidth="1"/>
    <col min="517" max="517" width="8.83203125" customWidth="1"/>
    <col min="519" max="519" width="5.58203125" customWidth="1"/>
    <col min="520" max="520" width="14.08203125" customWidth="1"/>
    <col min="769" max="769" width="37.08203125" customWidth="1"/>
    <col min="770" max="770" width="12" customWidth="1"/>
    <col min="771" max="771" width="11.58203125" customWidth="1"/>
    <col min="773" max="773" width="8.83203125" customWidth="1"/>
    <col min="775" max="775" width="5.58203125" customWidth="1"/>
    <col min="776" max="776" width="14.08203125" customWidth="1"/>
    <col min="1025" max="1025" width="37.08203125" customWidth="1"/>
    <col min="1026" max="1026" width="12" customWidth="1"/>
    <col min="1027" max="1027" width="11.58203125" customWidth="1"/>
    <col min="1029" max="1029" width="8.83203125" customWidth="1"/>
    <col min="1031" max="1031" width="5.58203125" customWidth="1"/>
    <col min="1032" max="1032" width="14.08203125" customWidth="1"/>
    <col min="1281" max="1281" width="37.08203125" customWidth="1"/>
    <col min="1282" max="1282" width="12" customWidth="1"/>
    <col min="1283" max="1283" width="11.58203125" customWidth="1"/>
    <col min="1285" max="1285" width="8.83203125" customWidth="1"/>
    <col min="1287" max="1287" width="5.58203125" customWidth="1"/>
    <col min="1288" max="1288" width="14.08203125" customWidth="1"/>
    <col min="1537" max="1537" width="37.08203125" customWidth="1"/>
    <col min="1538" max="1538" width="12" customWidth="1"/>
    <col min="1539" max="1539" width="11.58203125" customWidth="1"/>
    <col min="1541" max="1541" width="8.83203125" customWidth="1"/>
    <col min="1543" max="1543" width="5.58203125" customWidth="1"/>
    <col min="1544" max="1544" width="14.08203125" customWidth="1"/>
    <col min="1793" max="1793" width="37.08203125" customWidth="1"/>
    <col min="1794" max="1794" width="12" customWidth="1"/>
    <col min="1795" max="1795" width="11.58203125" customWidth="1"/>
    <col min="1797" max="1797" width="8.83203125" customWidth="1"/>
    <col min="1799" max="1799" width="5.58203125" customWidth="1"/>
    <col min="1800" max="1800" width="14.08203125" customWidth="1"/>
    <col min="2049" max="2049" width="37.08203125" customWidth="1"/>
    <col min="2050" max="2050" width="12" customWidth="1"/>
    <col min="2051" max="2051" width="11.58203125" customWidth="1"/>
    <col min="2053" max="2053" width="8.83203125" customWidth="1"/>
    <col min="2055" max="2055" width="5.58203125" customWidth="1"/>
    <col min="2056" max="2056" width="14.08203125" customWidth="1"/>
    <col min="2305" max="2305" width="37.08203125" customWidth="1"/>
    <col min="2306" max="2306" width="12" customWidth="1"/>
    <col min="2307" max="2307" width="11.58203125" customWidth="1"/>
    <col min="2309" max="2309" width="8.83203125" customWidth="1"/>
    <col min="2311" max="2311" width="5.58203125" customWidth="1"/>
    <col min="2312" max="2312" width="14.08203125" customWidth="1"/>
    <col min="2561" max="2561" width="37.08203125" customWidth="1"/>
    <col min="2562" max="2562" width="12" customWidth="1"/>
    <col min="2563" max="2563" width="11.58203125" customWidth="1"/>
    <col min="2565" max="2565" width="8.83203125" customWidth="1"/>
    <col min="2567" max="2567" width="5.58203125" customWidth="1"/>
    <col min="2568" max="2568" width="14.08203125" customWidth="1"/>
    <col min="2817" max="2817" width="37.08203125" customWidth="1"/>
    <col min="2818" max="2818" width="12" customWidth="1"/>
    <col min="2819" max="2819" width="11.58203125" customWidth="1"/>
    <col min="2821" max="2821" width="8.83203125" customWidth="1"/>
    <col min="2823" max="2823" width="5.58203125" customWidth="1"/>
    <col min="2824" max="2824" width="14.08203125" customWidth="1"/>
    <col min="3073" max="3073" width="37.08203125" customWidth="1"/>
    <col min="3074" max="3074" width="12" customWidth="1"/>
    <col min="3075" max="3075" width="11.58203125" customWidth="1"/>
    <col min="3077" max="3077" width="8.83203125" customWidth="1"/>
    <col min="3079" max="3079" width="5.58203125" customWidth="1"/>
    <col min="3080" max="3080" width="14.08203125" customWidth="1"/>
    <col min="3329" max="3329" width="37.08203125" customWidth="1"/>
    <col min="3330" max="3330" width="12" customWidth="1"/>
    <col min="3331" max="3331" width="11.58203125" customWidth="1"/>
    <col min="3333" max="3333" width="8.83203125" customWidth="1"/>
    <col min="3335" max="3335" width="5.58203125" customWidth="1"/>
    <col min="3336" max="3336" width="14.08203125" customWidth="1"/>
    <col min="3585" max="3585" width="37.08203125" customWidth="1"/>
    <col min="3586" max="3586" width="12" customWidth="1"/>
    <col min="3587" max="3587" width="11.58203125" customWidth="1"/>
    <col min="3589" max="3589" width="8.83203125" customWidth="1"/>
    <col min="3591" max="3591" width="5.58203125" customWidth="1"/>
    <col min="3592" max="3592" width="14.08203125" customWidth="1"/>
    <col min="3841" max="3841" width="37.08203125" customWidth="1"/>
    <col min="3842" max="3842" width="12" customWidth="1"/>
    <col min="3843" max="3843" width="11.58203125" customWidth="1"/>
    <col min="3845" max="3845" width="8.83203125" customWidth="1"/>
    <col min="3847" max="3847" width="5.58203125" customWidth="1"/>
    <col min="3848" max="3848" width="14.08203125" customWidth="1"/>
    <col min="4097" max="4097" width="37.08203125" customWidth="1"/>
    <col min="4098" max="4098" width="12" customWidth="1"/>
    <col min="4099" max="4099" width="11.58203125" customWidth="1"/>
    <col min="4101" max="4101" width="8.83203125" customWidth="1"/>
    <col min="4103" max="4103" width="5.58203125" customWidth="1"/>
    <col min="4104" max="4104" width="14.08203125" customWidth="1"/>
    <col min="4353" max="4353" width="37.08203125" customWidth="1"/>
    <col min="4354" max="4354" width="12" customWidth="1"/>
    <col min="4355" max="4355" width="11.58203125" customWidth="1"/>
    <col min="4357" max="4357" width="8.83203125" customWidth="1"/>
    <col min="4359" max="4359" width="5.58203125" customWidth="1"/>
    <col min="4360" max="4360" width="14.08203125" customWidth="1"/>
    <col min="4609" max="4609" width="37.08203125" customWidth="1"/>
    <col min="4610" max="4610" width="12" customWidth="1"/>
    <col min="4611" max="4611" width="11.58203125" customWidth="1"/>
    <col min="4613" max="4613" width="8.83203125" customWidth="1"/>
    <col min="4615" max="4615" width="5.58203125" customWidth="1"/>
    <col min="4616" max="4616" width="14.08203125" customWidth="1"/>
    <col min="4865" max="4865" width="37.08203125" customWidth="1"/>
    <col min="4866" max="4866" width="12" customWidth="1"/>
    <col min="4867" max="4867" width="11.58203125" customWidth="1"/>
    <col min="4869" max="4869" width="8.83203125" customWidth="1"/>
    <col min="4871" max="4871" width="5.58203125" customWidth="1"/>
    <col min="4872" max="4872" width="14.08203125" customWidth="1"/>
    <col min="5121" max="5121" width="37.08203125" customWidth="1"/>
    <col min="5122" max="5122" width="12" customWidth="1"/>
    <col min="5123" max="5123" width="11.58203125" customWidth="1"/>
    <col min="5125" max="5125" width="8.83203125" customWidth="1"/>
    <col min="5127" max="5127" width="5.58203125" customWidth="1"/>
    <col min="5128" max="5128" width="14.08203125" customWidth="1"/>
    <col min="5377" max="5377" width="37.08203125" customWidth="1"/>
    <col min="5378" max="5378" width="12" customWidth="1"/>
    <col min="5379" max="5379" width="11.58203125" customWidth="1"/>
    <col min="5381" max="5381" width="8.83203125" customWidth="1"/>
    <col min="5383" max="5383" width="5.58203125" customWidth="1"/>
    <col min="5384" max="5384" width="14.08203125" customWidth="1"/>
    <col min="5633" max="5633" width="37.08203125" customWidth="1"/>
    <col min="5634" max="5634" width="12" customWidth="1"/>
    <col min="5635" max="5635" width="11.58203125" customWidth="1"/>
    <col min="5637" max="5637" width="8.83203125" customWidth="1"/>
    <col min="5639" max="5639" width="5.58203125" customWidth="1"/>
    <col min="5640" max="5640" width="14.08203125" customWidth="1"/>
    <col min="5889" max="5889" width="37.08203125" customWidth="1"/>
    <col min="5890" max="5890" width="12" customWidth="1"/>
    <col min="5891" max="5891" width="11.58203125" customWidth="1"/>
    <col min="5893" max="5893" width="8.83203125" customWidth="1"/>
    <col min="5895" max="5895" width="5.58203125" customWidth="1"/>
    <col min="5896" max="5896" width="14.08203125" customWidth="1"/>
    <col min="6145" max="6145" width="37.08203125" customWidth="1"/>
    <col min="6146" max="6146" width="12" customWidth="1"/>
    <col min="6147" max="6147" width="11.58203125" customWidth="1"/>
    <col min="6149" max="6149" width="8.83203125" customWidth="1"/>
    <col min="6151" max="6151" width="5.58203125" customWidth="1"/>
    <col min="6152" max="6152" width="14.08203125" customWidth="1"/>
    <col min="6401" max="6401" width="37.08203125" customWidth="1"/>
    <col min="6402" max="6402" width="12" customWidth="1"/>
    <col min="6403" max="6403" width="11.58203125" customWidth="1"/>
    <col min="6405" max="6405" width="8.83203125" customWidth="1"/>
    <col min="6407" max="6407" width="5.58203125" customWidth="1"/>
    <col min="6408" max="6408" width="14.08203125" customWidth="1"/>
    <col min="6657" max="6657" width="37.08203125" customWidth="1"/>
    <col min="6658" max="6658" width="12" customWidth="1"/>
    <col min="6659" max="6659" width="11.58203125" customWidth="1"/>
    <col min="6661" max="6661" width="8.83203125" customWidth="1"/>
    <col min="6663" max="6663" width="5.58203125" customWidth="1"/>
    <col min="6664" max="6664" width="14.08203125" customWidth="1"/>
    <col min="6913" max="6913" width="37.08203125" customWidth="1"/>
    <col min="6914" max="6914" width="12" customWidth="1"/>
    <col min="6915" max="6915" width="11.58203125" customWidth="1"/>
    <col min="6917" max="6917" width="8.83203125" customWidth="1"/>
    <col min="6919" max="6919" width="5.58203125" customWidth="1"/>
    <col min="6920" max="6920" width="14.08203125" customWidth="1"/>
    <col min="7169" max="7169" width="37.08203125" customWidth="1"/>
    <col min="7170" max="7170" width="12" customWidth="1"/>
    <col min="7171" max="7171" width="11.58203125" customWidth="1"/>
    <col min="7173" max="7173" width="8.83203125" customWidth="1"/>
    <col min="7175" max="7175" width="5.58203125" customWidth="1"/>
    <col min="7176" max="7176" width="14.08203125" customWidth="1"/>
    <col min="7425" max="7425" width="37.08203125" customWidth="1"/>
    <col min="7426" max="7426" width="12" customWidth="1"/>
    <col min="7427" max="7427" width="11.58203125" customWidth="1"/>
    <col min="7429" max="7429" width="8.83203125" customWidth="1"/>
    <col min="7431" max="7431" width="5.58203125" customWidth="1"/>
    <col min="7432" max="7432" width="14.08203125" customWidth="1"/>
    <col min="7681" max="7681" width="37.08203125" customWidth="1"/>
    <col min="7682" max="7682" width="12" customWidth="1"/>
    <col min="7683" max="7683" width="11.58203125" customWidth="1"/>
    <col min="7685" max="7685" width="8.83203125" customWidth="1"/>
    <col min="7687" max="7687" width="5.58203125" customWidth="1"/>
    <col min="7688" max="7688" width="14.08203125" customWidth="1"/>
    <col min="7937" max="7937" width="37.08203125" customWidth="1"/>
    <col min="7938" max="7938" width="12" customWidth="1"/>
    <col min="7939" max="7939" width="11.58203125" customWidth="1"/>
    <col min="7941" max="7941" width="8.83203125" customWidth="1"/>
    <col min="7943" max="7943" width="5.58203125" customWidth="1"/>
    <col min="7944" max="7944" width="14.08203125" customWidth="1"/>
    <col min="8193" max="8193" width="37.08203125" customWidth="1"/>
    <col min="8194" max="8194" width="12" customWidth="1"/>
    <col min="8195" max="8195" width="11.58203125" customWidth="1"/>
    <col min="8197" max="8197" width="8.83203125" customWidth="1"/>
    <col min="8199" max="8199" width="5.58203125" customWidth="1"/>
    <col min="8200" max="8200" width="14.08203125" customWidth="1"/>
    <col min="8449" max="8449" width="37.08203125" customWidth="1"/>
    <col min="8450" max="8450" width="12" customWidth="1"/>
    <col min="8451" max="8451" width="11.58203125" customWidth="1"/>
    <col min="8453" max="8453" width="8.83203125" customWidth="1"/>
    <col min="8455" max="8455" width="5.58203125" customWidth="1"/>
    <col min="8456" max="8456" width="14.08203125" customWidth="1"/>
    <col min="8705" max="8705" width="37.08203125" customWidth="1"/>
    <col min="8706" max="8706" width="12" customWidth="1"/>
    <col min="8707" max="8707" width="11.58203125" customWidth="1"/>
    <col min="8709" max="8709" width="8.83203125" customWidth="1"/>
    <col min="8711" max="8711" width="5.58203125" customWidth="1"/>
    <col min="8712" max="8712" width="14.08203125" customWidth="1"/>
    <col min="8961" max="8961" width="37.08203125" customWidth="1"/>
    <col min="8962" max="8962" width="12" customWidth="1"/>
    <col min="8963" max="8963" width="11.58203125" customWidth="1"/>
    <col min="8965" max="8965" width="8.83203125" customWidth="1"/>
    <col min="8967" max="8967" width="5.58203125" customWidth="1"/>
    <col min="8968" max="8968" width="14.08203125" customWidth="1"/>
    <col min="9217" max="9217" width="37.08203125" customWidth="1"/>
    <col min="9218" max="9218" width="12" customWidth="1"/>
    <col min="9219" max="9219" width="11.58203125" customWidth="1"/>
    <col min="9221" max="9221" width="8.83203125" customWidth="1"/>
    <col min="9223" max="9223" width="5.58203125" customWidth="1"/>
    <col min="9224" max="9224" width="14.08203125" customWidth="1"/>
    <col min="9473" max="9473" width="37.08203125" customWidth="1"/>
    <col min="9474" max="9474" width="12" customWidth="1"/>
    <col min="9475" max="9475" width="11.58203125" customWidth="1"/>
    <col min="9477" max="9477" width="8.83203125" customWidth="1"/>
    <col min="9479" max="9479" width="5.58203125" customWidth="1"/>
    <col min="9480" max="9480" width="14.08203125" customWidth="1"/>
    <col min="9729" max="9729" width="37.08203125" customWidth="1"/>
    <col min="9730" max="9730" width="12" customWidth="1"/>
    <col min="9731" max="9731" width="11.58203125" customWidth="1"/>
    <col min="9733" max="9733" width="8.83203125" customWidth="1"/>
    <col min="9735" max="9735" width="5.58203125" customWidth="1"/>
    <col min="9736" max="9736" width="14.08203125" customWidth="1"/>
    <col min="9985" max="9985" width="37.08203125" customWidth="1"/>
    <col min="9986" max="9986" width="12" customWidth="1"/>
    <col min="9987" max="9987" width="11.58203125" customWidth="1"/>
    <col min="9989" max="9989" width="8.83203125" customWidth="1"/>
    <col min="9991" max="9991" width="5.58203125" customWidth="1"/>
    <col min="9992" max="9992" width="14.08203125" customWidth="1"/>
    <col min="10241" max="10241" width="37.08203125" customWidth="1"/>
    <col min="10242" max="10242" width="12" customWidth="1"/>
    <col min="10243" max="10243" width="11.58203125" customWidth="1"/>
    <col min="10245" max="10245" width="8.83203125" customWidth="1"/>
    <col min="10247" max="10247" width="5.58203125" customWidth="1"/>
    <col min="10248" max="10248" width="14.08203125" customWidth="1"/>
    <col min="10497" max="10497" width="37.08203125" customWidth="1"/>
    <col min="10498" max="10498" width="12" customWidth="1"/>
    <col min="10499" max="10499" width="11.58203125" customWidth="1"/>
    <col min="10501" max="10501" width="8.83203125" customWidth="1"/>
    <col min="10503" max="10503" width="5.58203125" customWidth="1"/>
    <col min="10504" max="10504" width="14.08203125" customWidth="1"/>
    <col min="10753" max="10753" width="37.08203125" customWidth="1"/>
    <col min="10754" max="10754" width="12" customWidth="1"/>
    <col min="10755" max="10755" width="11.58203125" customWidth="1"/>
    <col min="10757" max="10757" width="8.83203125" customWidth="1"/>
    <col min="10759" max="10759" width="5.58203125" customWidth="1"/>
    <col min="10760" max="10760" width="14.08203125" customWidth="1"/>
    <col min="11009" max="11009" width="37.08203125" customWidth="1"/>
    <col min="11010" max="11010" width="12" customWidth="1"/>
    <col min="11011" max="11011" width="11.58203125" customWidth="1"/>
    <col min="11013" max="11013" width="8.83203125" customWidth="1"/>
    <col min="11015" max="11015" width="5.58203125" customWidth="1"/>
    <col min="11016" max="11016" width="14.08203125" customWidth="1"/>
    <col min="11265" max="11265" width="37.08203125" customWidth="1"/>
    <col min="11266" max="11266" width="12" customWidth="1"/>
    <col min="11267" max="11267" width="11.58203125" customWidth="1"/>
    <col min="11269" max="11269" width="8.83203125" customWidth="1"/>
    <col min="11271" max="11271" width="5.58203125" customWidth="1"/>
    <col min="11272" max="11272" width="14.08203125" customWidth="1"/>
    <col min="11521" max="11521" width="37.08203125" customWidth="1"/>
    <col min="11522" max="11522" width="12" customWidth="1"/>
    <col min="11523" max="11523" width="11.58203125" customWidth="1"/>
    <col min="11525" max="11525" width="8.83203125" customWidth="1"/>
    <col min="11527" max="11527" width="5.58203125" customWidth="1"/>
    <col min="11528" max="11528" width="14.08203125" customWidth="1"/>
    <col min="11777" max="11777" width="37.08203125" customWidth="1"/>
    <col min="11778" max="11778" width="12" customWidth="1"/>
    <col min="11779" max="11779" width="11.58203125" customWidth="1"/>
    <col min="11781" max="11781" width="8.83203125" customWidth="1"/>
    <col min="11783" max="11783" width="5.58203125" customWidth="1"/>
    <col min="11784" max="11784" width="14.08203125" customWidth="1"/>
    <col min="12033" max="12033" width="37.08203125" customWidth="1"/>
    <col min="12034" max="12034" width="12" customWidth="1"/>
    <col min="12035" max="12035" width="11.58203125" customWidth="1"/>
    <col min="12037" max="12037" width="8.83203125" customWidth="1"/>
    <col min="12039" max="12039" width="5.58203125" customWidth="1"/>
    <col min="12040" max="12040" width="14.08203125" customWidth="1"/>
    <col min="12289" max="12289" width="37.08203125" customWidth="1"/>
    <col min="12290" max="12290" width="12" customWidth="1"/>
    <col min="12291" max="12291" width="11.58203125" customWidth="1"/>
    <col min="12293" max="12293" width="8.83203125" customWidth="1"/>
    <col min="12295" max="12295" width="5.58203125" customWidth="1"/>
    <col min="12296" max="12296" width="14.08203125" customWidth="1"/>
    <col min="12545" max="12545" width="37.08203125" customWidth="1"/>
    <col min="12546" max="12546" width="12" customWidth="1"/>
    <col min="12547" max="12547" width="11.58203125" customWidth="1"/>
    <col min="12549" max="12549" width="8.83203125" customWidth="1"/>
    <col min="12551" max="12551" width="5.58203125" customWidth="1"/>
    <col min="12552" max="12552" width="14.08203125" customWidth="1"/>
    <col min="12801" max="12801" width="37.08203125" customWidth="1"/>
    <col min="12802" max="12802" width="12" customWidth="1"/>
    <col min="12803" max="12803" width="11.58203125" customWidth="1"/>
    <col min="12805" max="12805" width="8.83203125" customWidth="1"/>
    <col min="12807" max="12807" width="5.58203125" customWidth="1"/>
    <col min="12808" max="12808" width="14.08203125" customWidth="1"/>
    <col min="13057" max="13057" width="37.08203125" customWidth="1"/>
    <col min="13058" max="13058" width="12" customWidth="1"/>
    <col min="13059" max="13059" width="11.58203125" customWidth="1"/>
    <col min="13061" max="13061" width="8.83203125" customWidth="1"/>
    <col min="13063" max="13063" width="5.58203125" customWidth="1"/>
    <col min="13064" max="13064" width="14.08203125" customWidth="1"/>
    <col min="13313" max="13313" width="37.08203125" customWidth="1"/>
    <col min="13314" max="13314" width="12" customWidth="1"/>
    <col min="13315" max="13315" width="11.58203125" customWidth="1"/>
    <col min="13317" max="13317" width="8.83203125" customWidth="1"/>
    <col min="13319" max="13319" width="5.58203125" customWidth="1"/>
    <col min="13320" max="13320" width="14.08203125" customWidth="1"/>
    <col min="13569" max="13569" width="37.08203125" customWidth="1"/>
    <col min="13570" max="13570" width="12" customWidth="1"/>
    <col min="13571" max="13571" width="11.58203125" customWidth="1"/>
    <col min="13573" max="13573" width="8.83203125" customWidth="1"/>
    <col min="13575" max="13575" width="5.58203125" customWidth="1"/>
    <col min="13576" max="13576" width="14.08203125" customWidth="1"/>
    <col min="13825" max="13825" width="37.08203125" customWidth="1"/>
    <col min="13826" max="13826" width="12" customWidth="1"/>
    <col min="13827" max="13827" width="11.58203125" customWidth="1"/>
    <col min="13829" max="13829" width="8.83203125" customWidth="1"/>
    <col min="13831" max="13831" width="5.58203125" customWidth="1"/>
    <col min="13832" max="13832" width="14.08203125" customWidth="1"/>
    <col min="14081" max="14081" width="37.08203125" customWidth="1"/>
    <col min="14082" max="14082" width="12" customWidth="1"/>
    <col min="14083" max="14083" width="11.58203125" customWidth="1"/>
    <col min="14085" max="14085" width="8.83203125" customWidth="1"/>
    <col min="14087" max="14087" width="5.58203125" customWidth="1"/>
    <col min="14088" max="14088" width="14.08203125" customWidth="1"/>
    <col min="14337" max="14337" width="37.08203125" customWidth="1"/>
    <col min="14338" max="14338" width="12" customWidth="1"/>
    <col min="14339" max="14339" width="11.58203125" customWidth="1"/>
    <col min="14341" max="14341" width="8.83203125" customWidth="1"/>
    <col min="14343" max="14343" width="5.58203125" customWidth="1"/>
    <col min="14344" max="14344" width="14.08203125" customWidth="1"/>
    <col min="14593" max="14593" width="37.08203125" customWidth="1"/>
    <col min="14594" max="14594" width="12" customWidth="1"/>
    <col min="14595" max="14595" width="11.58203125" customWidth="1"/>
    <col min="14597" max="14597" width="8.83203125" customWidth="1"/>
    <col min="14599" max="14599" width="5.58203125" customWidth="1"/>
    <col min="14600" max="14600" width="14.08203125" customWidth="1"/>
    <col min="14849" max="14849" width="37.08203125" customWidth="1"/>
    <col min="14850" max="14850" width="12" customWidth="1"/>
    <col min="14851" max="14851" width="11.58203125" customWidth="1"/>
    <col min="14853" max="14853" width="8.83203125" customWidth="1"/>
    <col min="14855" max="14855" width="5.58203125" customWidth="1"/>
    <col min="14856" max="14856" width="14.08203125" customWidth="1"/>
    <col min="15105" max="15105" width="37.08203125" customWidth="1"/>
    <col min="15106" max="15106" width="12" customWidth="1"/>
    <col min="15107" max="15107" width="11.58203125" customWidth="1"/>
    <col min="15109" max="15109" width="8.83203125" customWidth="1"/>
    <col min="15111" max="15111" width="5.58203125" customWidth="1"/>
    <col min="15112" max="15112" width="14.08203125" customWidth="1"/>
    <col min="15361" max="15361" width="37.08203125" customWidth="1"/>
    <col min="15362" max="15362" width="12" customWidth="1"/>
    <col min="15363" max="15363" width="11.58203125" customWidth="1"/>
    <col min="15365" max="15365" width="8.83203125" customWidth="1"/>
    <col min="15367" max="15367" width="5.58203125" customWidth="1"/>
    <col min="15368" max="15368" width="14.08203125" customWidth="1"/>
    <col min="15617" max="15617" width="37.08203125" customWidth="1"/>
    <col min="15618" max="15618" width="12" customWidth="1"/>
    <col min="15619" max="15619" width="11.58203125" customWidth="1"/>
    <col min="15621" max="15621" width="8.83203125" customWidth="1"/>
    <col min="15623" max="15623" width="5.58203125" customWidth="1"/>
    <col min="15624" max="15624" width="14.08203125" customWidth="1"/>
    <col min="15873" max="15873" width="37.08203125" customWidth="1"/>
    <col min="15874" max="15874" width="12" customWidth="1"/>
    <col min="15875" max="15875" width="11.58203125" customWidth="1"/>
    <col min="15877" max="15877" width="8.83203125" customWidth="1"/>
    <col min="15879" max="15879" width="5.58203125" customWidth="1"/>
    <col min="15880" max="15880" width="14.08203125" customWidth="1"/>
    <col min="16129" max="16129" width="37.08203125" customWidth="1"/>
    <col min="16130" max="16130" width="12" customWidth="1"/>
    <col min="16131" max="16131" width="11.58203125" customWidth="1"/>
    <col min="16133" max="16133" width="8.83203125" customWidth="1"/>
    <col min="16135" max="16135" width="5.58203125" customWidth="1"/>
    <col min="16136" max="16136" width="14.08203125" customWidth="1"/>
  </cols>
  <sheetData>
    <row r="1" spans="1:10" ht="20.5" x14ac:dyDescent="0.45">
      <c r="A1" s="1" t="s">
        <v>32</v>
      </c>
      <c r="I1">
        <v>1.228067</v>
      </c>
      <c r="J1" t="s">
        <v>1</v>
      </c>
    </row>
    <row r="2" spans="1:10" ht="16" thickBot="1" x14ac:dyDescent="0.4">
      <c r="A2" s="2" t="s">
        <v>2</v>
      </c>
      <c r="H2" s="2" t="s">
        <v>3</v>
      </c>
    </row>
    <row r="3" spans="1:10" x14ac:dyDescent="0.35">
      <c r="A3" s="3"/>
      <c r="H3" s="4"/>
      <c r="I3" s="5"/>
      <c r="J3" s="67"/>
    </row>
    <row r="4" spans="1:10" ht="16" thickBot="1" x14ac:dyDescent="0.4">
      <c r="A4" s="6"/>
      <c r="H4" s="7" t="s">
        <v>108</v>
      </c>
      <c r="I4" s="8"/>
      <c r="J4" s="9"/>
    </row>
    <row r="5" spans="1:10" ht="9" customHeight="1" x14ac:dyDescent="0.35"/>
    <row r="6" spans="1:10" x14ac:dyDescent="0.35">
      <c r="A6" t="s">
        <v>4</v>
      </c>
      <c r="B6" s="45">
        <v>0</v>
      </c>
      <c r="C6">
        <v>37</v>
      </c>
    </row>
    <row r="7" spans="1:10" ht="7.5" customHeight="1" x14ac:dyDescent="0.35">
      <c r="B7" s="19"/>
    </row>
    <row r="8" spans="1:10" x14ac:dyDescent="0.35">
      <c r="A8" s="2" t="s">
        <v>33</v>
      </c>
      <c r="B8" s="2" t="s">
        <v>34</v>
      </c>
      <c r="C8" s="2" t="s">
        <v>35</v>
      </c>
      <c r="H8" t="s">
        <v>36</v>
      </c>
    </row>
    <row r="9" spans="1:10" x14ac:dyDescent="0.35">
      <c r="A9" t="s">
        <v>84</v>
      </c>
      <c r="B9" s="13"/>
      <c r="C9" s="14">
        <v>0</v>
      </c>
      <c r="H9" t="s">
        <v>42</v>
      </c>
      <c r="I9" s="29" t="s">
        <v>42</v>
      </c>
      <c r="J9" t="s">
        <v>76</v>
      </c>
    </row>
    <row r="10" spans="1:10" x14ac:dyDescent="0.35">
      <c r="A10" t="s">
        <v>14</v>
      </c>
      <c r="B10" s="16">
        <f>IF($B$6=0,0,ROUND(((C10*12)/$B$6*$C$6)/$I$1,0))</f>
        <v>0</v>
      </c>
      <c r="C10" s="17">
        <v>0</v>
      </c>
      <c r="H10" s="20">
        <v>275239</v>
      </c>
      <c r="I10">
        <v>1</v>
      </c>
      <c r="J10" s="55" t="s">
        <v>75</v>
      </c>
    </row>
    <row r="11" spans="1:10" x14ac:dyDescent="0.35">
      <c r="A11" t="s">
        <v>14</v>
      </c>
      <c r="B11" s="16">
        <f>IF($B$6=0,0,ROUND(((C11*12)/$B$6*$C$6)/$I$1,0))</f>
        <v>0</v>
      </c>
      <c r="C11" s="17">
        <v>0</v>
      </c>
      <c r="H11" s="20">
        <v>289183</v>
      </c>
      <c r="I11">
        <v>2</v>
      </c>
      <c r="J11" s="55" t="s">
        <v>109</v>
      </c>
    </row>
    <row r="12" spans="1:10" x14ac:dyDescent="0.35">
      <c r="A12" t="s">
        <v>14</v>
      </c>
      <c r="B12" s="16">
        <f>IF($B$6=0,0,ROUND(((C12*12)/$B$6*$C$6)/$I$1,0))</f>
        <v>0</v>
      </c>
      <c r="C12" s="17">
        <v>0</v>
      </c>
      <c r="H12" s="20"/>
    </row>
    <row r="13" spans="1:10" x14ac:dyDescent="0.35">
      <c r="A13" t="s">
        <v>14</v>
      </c>
      <c r="B13" s="16">
        <f>IF($B$6=0,0,ROUND(((C13*12)/$B$6*$C$6)/$I$1,0))</f>
        <v>0</v>
      </c>
      <c r="C13" s="17">
        <v>0</v>
      </c>
      <c r="H13" s="20" t="s">
        <v>15</v>
      </c>
    </row>
    <row r="14" spans="1:10" x14ac:dyDescent="0.35">
      <c r="A14" t="s">
        <v>61</v>
      </c>
      <c r="B14" s="16">
        <f>IF($B$6=0,0,ROUND((C14*12)/$I$1,2))</f>
        <v>0</v>
      </c>
      <c r="C14" s="28">
        <f>(SUM(C9:C13)-(SUM(C9:C13)/1.18))*-1</f>
        <v>0</v>
      </c>
      <c r="H14" s="20">
        <v>21400</v>
      </c>
      <c r="I14">
        <v>1</v>
      </c>
      <c r="J14" t="s">
        <v>70</v>
      </c>
    </row>
    <row r="15" spans="1:10" ht="7.5" customHeight="1" x14ac:dyDescent="0.35">
      <c r="H15" s="20"/>
    </row>
    <row r="16" spans="1:10" x14ac:dyDescent="0.35">
      <c r="A16" s="2" t="s">
        <v>54</v>
      </c>
      <c r="B16" s="12" t="s">
        <v>53</v>
      </c>
      <c r="C16" s="12" t="s">
        <v>6</v>
      </c>
      <c r="H16" s="20">
        <v>27900</v>
      </c>
      <c r="I16" s="55" t="s">
        <v>71</v>
      </c>
      <c r="J16" t="s">
        <v>72</v>
      </c>
    </row>
    <row r="17" spans="1:10" x14ac:dyDescent="0.35">
      <c r="A17" s="22" t="s">
        <v>55</v>
      </c>
      <c r="B17" s="23"/>
      <c r="C17" s="24">
        <f>SUM(C8:C14)</f>
        <v>0</v>
      </c>
      <c r="H17" s="20"/>
      <c r="I17" s="29"/>
    </row>
    <row r="18" spans="1:10" x14ac:dyDescent="0.35">
      <c r="A18" s="25" t="s">
        <v>56</v>
      </c>
      <c r="B18" s="46">
        <f>IF($B$6=0,0,ROUND((C18/$B$6*$C$6)/$I$1,0))</f>
        <v>0</v>
      </c>
      <c r="C18" s="26">
        <f>C17*12</f>
        <v>0</v>
      </c>
      <c r="H18" s="20">
        <v>33200</v>
      </c>
      <c r="I18" s="29" t="s">
        <v>73</v>
      </c>
      <c r="J18" t="s">
        <v>72</v>
      </c>
    </row>
    <row r="19" spans="1:10" x14ac:dyDescent="0.35">
      <c r="A19" s="25"/>
      <c r="B19" s="16"/>
      <c r="C19" s="26"/>
      <c r="H19" s="20"/>
    </row>
    <row r="20" spans="1:10" x14ac:dyDescent="0.35">
      <c r="A20" s="25"/>
      <c r="B20" s="16"/>
      <c r="C20" s="26"/>
      <c r="H20" s="20"/>
    </row>
    <row r="21" spans="1:10" x14ac:dyDescent="0.35">
      <c r="A21" s="27"/>
      <c r="B21" s="21"/>
      <c r="C21" s="28"/>
      <c r="H21" s="20"/>
    </row>
    <row r="22" spans="1:10" ht="9.75" customHeight="1" x14ac:dyDescent="0.35">
      <c r="B22" s="19"/>
      <c r="C22" s="19"/>
    </row>
    <row r="23" spans="1:10" x14ac:dyDescent="0.35">
      <c r="A23" s="2" t="s">
        <v>21</v>
      </c>
      <c r="B23" s="12" t="s">
        <v>53</v>
      </c>
      <c r="C23" s="12" t="s">
        <v>6</v>
      </c>
    </row>
    <row r="24" spans="1:10" x14ac:dyDescent="0.35">
      <c r="A24" s="22" t="s">
        <v>43</v>
      </c>
      <c r="B24" s="47">
        <v>0</v>
      </c>
      <c r="C24" s="24">
        <f>ROUND(((B24/$C$6*$B$6)*$I$1),2)</f>
        <v>0</v>
      </c>
    </row>
    <row r="25" spans="1:10" x14ac:dyDescent="0.35">
      <c r="A25" s="25" t="s">
        <v>23</v>
      </c>
      <c r="B25" s="30">
        <v>0</v>
      </c>
      <c r="C25" s="26">
        <f>ROUND(((B25/$C$6*$B$6)*$I$1),2)</f>
        <v>0</v>
      </c>
    </row>
    <row r="26" spans="1:10" x14ac:dyDescent="0.35">
      <c r="A26" s="27" t="s">
        <v>24</v>
      </c>
      <c r="B26" s="21">
        <f>SUM(B24:B25)</f>
        <v>0</v>
      </c>
      <c r="C26" s="28">
        <f>ROUND((B26/$C$6*$B$6)*$I$1,2)</f>
        <v>0</v>
      </c>
    </row>
    <row r="27" spans="1:10" ht="9" customHeight="1" x14ac:dyDescent="0.35">
      <c r="B27" s="19"/>
      <c r="C27" s="19"/>
    </row>
    <row r="28" spans="1:10" x14ac:dyDescent="0.35">
      <c r="A28" s="2" t="s">
        <v>27</v>
      </c>
      <c r="B28" s="12" t="s">
        <v>53</v>
      </c>
      <c r="C28" s="12" t="s">
        <v>6</v>
      </c>
    </row>
    <row r="29" spans="1:10" x14ac:dyDescent="0.35">
      <c r="A29" s="32" t="s">
        <v>44</v>
      </c>
      <c r="B29" s="33">
        <f>B26</f>
        <v>0</v>
      </c>
      <c r="C29" s="34">
        <f>(B29*$I$1)/$C$6*$B$6</f>
        <v>0</v>
      </c>
    </row>
    <row r="30" spans="1:10" ht="9" customHeight="1" x14ac:dyDescent="0.35">
      <c r="A30" s="35"/>
      <c r="B30" s="36"/>
      <c r="C30" s="37"/>
    </row>
    <row r="31" spans="1:10" x14ac:dyDescent="0.35">
      <c r="A31" s="32" t="s">
        <v>17</v>
      </c>
      <c r="B31" s="33">
        <f>B24</f>
        <v>0</v>
      </c>
      <c r="C31" s="34">
        <f>((B31*$I$1)/$C$6*$B$6)/12</f>
        <v>0</v>
      </c>
    </row>
    <row r="32" spans="1:10" x14ac:dyDescent="0.35">
      <c r="A32" s="35" t="s">
        <v>15</v>
      </c>
      <c r="B32" s="38">
        <f>B25</f>
        <v>0</v>
      </c>
      <c r="C32" s="39">
        <f>((B32*$I$1)/$C$6*$B$6)/12</f>
        <v>0</v>
      </c>
    </row>
    <row r="33" spans="1:11" x14ac:dyDescent="0.35">
      <c r="A33" s="40" t="s">
        <v>30</v>
      </c>
      <c r="B33" s="43"/>
      <c r="C33" s="42">
        <f>SUM(C31:C32)</f>
        <v>0</v>
      </c>
    </row>
    <row r="34" spans="1:11" ht="9" customHeight="1" x14ac:dyDescent="0.35">
      <c r="A34" s="35"/>
      <c r="B34" s="38"/>
      <c r="C34" s="39"/>
    </row>
    <row r="35" spans="1:11" x14ac:dyDescent="0.35">
      <c r="A35" s="35" t="s">
        <v>45</v>
      </c>
      <c r="B35" s="38"/>
      <c r="C35" s="39">
        <f>C26-C18</f>
        <v>0</v>
      </c>
    </row>
    <row r="36" spans="1:11" ht="8.25" customHeight="1" x14ac:dyDescent="0.35">
      <c r="A36" s="35"/>
      <c r="B36" s="36"/>
      <c r="C36" s="37"/>
    </row>
    <row r="37" spans="1:11" x14ac:dyDescent="0.35">
      <c r="A37" s="32" t="s">
        <v>46</v>
      </c>
      <c r="B37" s="48"/>
      <c r="C37" s="49"/>
    </row>
    <row r="38" spans="1:11" x14ac:dyDescent="0.35">
      <c r="A38" s="35" t="s">
        <v>47</v>
      </c>
      <c r="B38" s="38">
        <f>B29</f>
        <v>0</v>
      </c>
      <c r="C38" s="39">
        <f>ROUND(((B38/$C$6*$B$6)*$I$1),2)</f>
        <v>0</v>
      </c>
    </row>
    <row r="39" spans="1:11" x14ac:dyDescent="0.35">
      <c r="A39" s="35" t="s">
        <v>48</v>
      </c>
      <c r="B39" s="38"/>
      <c r="C39" s="39">
        <f>C18</f>
        <v>0</v>
      </c>
    </row>
    <row r="40" spans="1:11" x14ac:dyDescent="0.35">
      <c r="A40" s="40" t="s">
        <v>49</v>
      </c>
      <c r="B40" s="43">
        <f>IF(C40&lt;0,0,ROUND(C40/$I$1,2))</f>
        <v>0</v>
      </c>
      <c r="C40" s="42">
        <f>IF(C38-C39&gt;0,0,(C38-C39)*-1)</f>
        <v>0</v>
      </c>
      <c r="K40" s="60" t="s">
        <v>95</v>
      </c>
    </row>
  </sheetData>
  <sheetProtection algorithmName="SHA-512" hashValue="LL0vU3gWZCh5nra+jJb7YVD0lKIUMNcDQvIxGCb1tkk8RI3Dkmgf1b94VlzTEIMkRZqUDVxbeoD4xXSBSKuAhQ==" saltValue="IOH73sOh1oUXPca6ifpjLw==" spinCount="100000" sheet="1" objects="1" scenarios="1"/>
  <pageMargins left="0.19685039370078741" right="0.19685039370078741" top="0.19685039370078741" bottom="0.19685039370078741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F12C2-4FAC-4CFF-8B19-6D25D624BEDB}">
  <dimension ref="A1:D21"/>
  <sheetViews>
    <sheetView topLeftCell="A4" workbookViewId="0">
      <selection activeCell="A17" sqref="A17"/>
    </sheetView>
  </sheetViews>
  <sheetFormatPr defaultRowHeight="15.5" x14ac:dyDescent="0.35"/>
  <cols>
    <col min="1" max="1" width="15.75" customWidth="1"/>
    <col min="2" max="2" width="22.75" customWidth="1"/>
    <col min="3" max="3" width="23.33203125" style="50" customWidth="1"/>
    <col min="257" max="257" width="15.75" customWidth="1"/>
    <col min="258" max="258" width="22.75" customWidth="1"/>
    <col min="259" max="259" width="23.33203125" customWidth="1"/>
    <col min="513" max="513" width="15.75" customWidth="1"/>
    <col min="514" max="514" width="22.75" customWidth="1"/>
    <col min="515" max="515" width="23.33203125" customWidth="1"/>
    <col min="769" max="769" width="15.75" customWidth="1"/>
    <col min="770" max="770" width="22.75" customWidth="1"/>
    <col min="771" max="771" width="23.33203125" customWidth="1"/>
    <col min="1025" max="1025" width="15.75" customWidth="1"/>
    <col min="1026" max="1026" width="22.75" customWidth="1"/>
    <col min="1027" max="1027" width="23.33203125" customWidth="1"/>
    <col min="1281" max="1281" width="15.75" customWidth="1"/>
    <col min="1282" max="1282" width="22.75" customWidth="1"/>
    <col min="1283" max="1283" width="23.33203125" customWidth="1"/>
    <col min="1537" max="1537" width="15.75" customWidth="1"/>
    <col min="1538" max="1538" width="22.75" customWidth="1"/>
    <col min="1539" max="1539" width="23.33203125" customWidth="1"/>
    <col min="1793" max="1793" width="15.75" customWidth="1"/>
    <col min="1794" max="1794" width="22.75" customWidth="1"/>
    <col min="1795" max="1795" width="23.33203125" customWidth="1"/>
    <col min="2049" max="2049" width="15.75" customWidth="1"/>
    <col min="2050" max="2050" width="22.75" customWidth="1"/>
    <col min="2051" max="2051" width="23.33203125" customWidth="1"/>
    <col min="2305" max="2305" width="15.75" customWidth="1"/>
    <col min="2306" max="2306" width="22.75" customWidth="1"/>
    <col min="2307" max="2307" width="23.33203125" customWidth="1"/>
    <col min="2561" max="2561" width="15.75" customWidth="1"/>
    <col min="2562" max="2562" width="22.75" customWidth="1"/>
    <col min="2563" max="2563" width="23.33203125" customWidth="1"/>
    <col min="2817" max="2817" width="15.75" customWidth="1"/>
    <col min="2818" max="2818" width="22.75" customWidth="1"/>
    <col min="2819" max="2819" width="23.33203125" customWidth="1"/>
    <col min="3073" max="3073" width="15.75" customWidth="1"/>
    <col min="3074" max="3074" width="22.75" customWidth="1"/>
    <col min="3075" max="3075" width="23.33203125" customWidth="1"/>
    <col min="3329" max="3329" width="15.75" customWidth="1"/>
    <col min="3330" max="3330" width="22.75" customWidth="1"/>
    <col min="3331" max="3331" width="23.33203125" customWidth="1"/>
    <col min="3585" max="3585" width="15.75" customWidth="1"/>
    <col min="3586" max="3586" width="22.75" customWidth="1"/>
    <col min="3587" max="3587" width="23.33203125" customWidth="1"/>
    <col min="3841" max="3841" width="15.75" customWidth="1"/>
    <col min="3842" max="3842" width="22.75" customWidth="1"/>
    <col min="3843" max="3843" width="23.33203125" customWidth="1"/>
    <col min="4097" max="4097" width="15.75" customWidth="1"/>
    <col min="4098" max="4098" width="22.75" customWidth="1"/>
    <col min="4099" max="4099" width="23.33203125" customWidth="1"/>
    <col min="4353" max="4353" width="15.75" customWidth="1"/>
    <col min="4354" max="4354" width="22.75" customWidth="1"/>
    <col min="4355" max="4355" width="23.33203125" customWidth="1"/>
    <col min="4609" max="4609" width="15.75" customWidth="1"/>
    <col min="4610" max="4610" width="22.75" customWidth="1"/>
    <col min="4611" max="4611" width="23.33203125" customWidth="1"/>
    <col min="4865" max="4865" width="15.75" customWidth="1"/>
    <col min="4866" max="4866" width="22.75" customWidth="1"/>
    <col min="4867" max="4867" width="23.33203125" customWidth="1"/>
    <col min="5121" max="5121" width="15.75" customWidth="1"/>
    <col min="5122" max="5122" width="22.75" customWidth="1"/>
    <col min="5123" max="5123" width="23.33203125" customWidth="1"/>
    <col min="5377" max="5377" width="15.75" customWidth="1"/>
    <col min="5378" max="5378" width="22.75" customWidth="1"/>
    <col min="5379" max="5379" width="23.33203125" customWidth="1"/>
    <col min="5633" max="5633" width="15.75" customWidth="1"/>
    <col min="5634" max="5634" width="22.75" customWidth="1"/>
    <col min="5635" max="5635" width="23.33203125" customWidth="1"/>
    <col min="5889" max="5889" width="15.75" customWidth="1"/>
    <col min="5890" max="5890" width="22.75" customWidth="1"/>
    <col min="5891" max="5891" width="23.33203125" customWidth="1"/>
    <col min="6145" max="6145" width="15.75" customWidth="1"/>
    <col min="6146" max="6146" width="22.75" customWidth="1"/>
    <col min="6147" max="6147" width="23.33203125" customWidth="1"/>
    <col min="6401" max="6401" width="15.75" customWidth="1"/>
    <col min="6402" max="6402" width="22.75" customWidth="1"/>
    <col min="6403" max="6403" width="23.33203125" customWidth="1"/>
    <col min="6657" max="6657" width="15.75" customWidth="1"/>
    <col min="6658" max="6658" width="22.75" customWidth="1"/>
    <col min="6659" max="6659" width="23.33203125" customWidth="1"/>
    <col min="6913" max="6913" width="15.75" customWidth="1"/>
    <col min="6914" max="6914" width="22.75" customWidth="1"/>
    <col min="6915" max="6915" width="23.33203125" customWidth="1"/>
    <col min="7169" max="7169" width="15.75" customWidth="1"/>
    <col min="7170" max="7170" width="22.75" customWidth="1"/>
    <col min="7171" max="7171" width="23.33203125" customWidth="1"/>
    <col min="7425" max="7425" width="15.75" customWidth="1"/>
    <col min="7426" max="7426" width="22.75" customWidth="1"/>
    <col min="7427" max="7427" width="23.33203125" customWidth="1"/>
    <col min="7681" max="7681" width="15.75" customWidth="1"/>
    <col min="7682" max="7682" width="22.75" customWidth="1"/>
    <col min="7683" max="7683" width="23.33203125" customWidth="1"/>
    <col min="7937" max="7937" width="15.75" customWidth="1"/>
    <col min="7938" max="7938" width="22.75" customWidth="1"/>
    <col min="7939" max="7939" width="23.33203125" customWidth="1"/>
    <col min="8193" max="8193" width="15.75" customWidth="1"/>
    <col min="8194" max="8194" width="22.75" customWidth="1"/>
    <col min="8195" max="8195" width="23.33203125" customWidth="1"/>
    <col min="8449" max="8449" width="15.75" customWidth="1"/>
    <col min="8450" max="8450" width="22.75" customWidth="1"/>
    <col min="8451" max="8451" width="23.33203125" customWidth="1"/>
    <col min="8705" max="8705" width="15.75" customWidth="1"/>
    <col min="8706" max="8706" width="22.75" customWidth="1"/>
    <col min="8707" max="8707" width="23.33203125" customWidth="1"/>
    <col min="8961" max="8961" width="15.75" customWidth="1"/>
    <col min="8962" max="8962" width="22.75" customWidth="1"/>
    <col min="8963" max="8963" width="23.33203125" customWidth="1"/>
    <col min="9217" max="9217" width="15.75" customWidth="1"/>
    <col min="9218" max="9218" width="22.75" customWidth="1"/>
    <col min="9219" max="9219" width="23.33203125" customWidth="1"/>
    <col min="9473" max="9473" width="15.75" customWidth="1"/>
    <col min="9474" max="9474" width="22.75" customWidth="1"/>
    <col min="9475" max="9475" width="23.33203125" customWidth="1"/>
    <col min="9729" max="9729" width="15.75" customWidth="1"/>
    <col min="9730" max="9730" width="22.75" customWidth="1"/>
    <col min="9731" max="9731" width="23.33203125" customWidth="1"/>
    <col min="9985" max="9985" width="15.75" customWidth="1"/>
    <col min="9986" max="9986" width="22.75" customWidth="1"/>
    <col min="9987" max="9987" width="23.33203125" customWidth="1"/>
    <col min="10241" max="10241" width="15.75" customWidth="1"/>
    <col min="10242" max="10242" width="22.75" customWidth="1"/>
    <col min="10243" max="10243" width="23.33203125" customWidth="1"/>
    <col min="10497" max="10497" width="15.75" customWidth="1"/>
    <col min="10498" max="10498" width="22.75" customWidth="1"/>
    <col min="10499" max="10499" width="23.33203125" customWidth="1"/>
    <col min="10753" max="10753" width="15.75" customWidth="1"/>
    <col min="10754" max="10754" width="22.75" customWidth="1"/>
    <col min="10755" max="10755" width="23.33203125" customWidth="1"/>
    <col min="11009" max="11009" width="15.75" customWidth="1"/>
    <col min="11010" max="11010" width="22.75" customWidth="1"/>
    <col min="11011" max="11011" width="23.33203125" customWidth="1"/>
    <col min="11265" max="11265" width="15.75" customWidth="1"/>
    <col min="11266" max="11266" width="22.75" customWidth="1"/>
    <col min="11267" max="11267" width="23.33203125" customWidth="1"/>
    <col min="11521" max="11521" width="15.75" customWidth="1"/>
    <col min="11522" max="11522" width="22.75" customWidth="1"/>
    <col min="11523" max="11523" width="23.33203125" customWidth="1"/>
    <col min="11777" max="11777" width="15.75" customWidth="1"/>
    <col min="11778" max="11778" width="22.75" customWidth="1"/>
    <col min="11779" max="11779" width="23.33203125" customWidth="1"/>
    <col min="12033" max="12033" width="15.75" customWidth="1"/>
    <col min="12034" max="12034" width="22.75" customWidth="1"/>
    <col min="12035" max="12035" width="23.33203125" customWidth="1"/>
    <col min="12289" max="12289" width="15.75" customWidth="1"/>
    <col min="12290" max="12290" width="22.75" customWidth="1"/>
    <col min="12291" max="12291" width="23.33203125" customWidth="1"/>
    <col min="12545" max="12545" width="15.75" customWidth="1"/>
    <col min="12546" max="12546" width="22.75" customWidth="1"/>
    <col min="12547" max="12547" width="23.33203125" customWidth="1"/>
    <col min="12801" max="12801" width="15.75" customWidth="1"/>
    <col min="12802" max="12802" width="22.75" customWidth="1"/>
    <col min="12803" max="12803" width="23.33203125" customWidth="1"/>
    <col min="13057" max="13057" width="15.75" customWidth="1"/>
    <col min="13058" max="13058" width="22.75" customWidth="1"/>
    <col min="13059" max="13059" width="23.33203125" customWidth="1"/>
    <col min="13313" max="13313" width="15.75" customWidth="1"/>
    <col min="13314" max="13314" width="22.75" customWidth="1"/>
    <col min="13315" max="13315" width="23.33203125" customWidth="1"/>
    <col min="13569" max="13569" width="15.75" customWidth="1"/>
    <col min="13570" max="13570" width="22.75" customWidth="1"/>
    <col min="13571" max="13571" width="23.33203125" customWidth="1"/>
    <col min="13825" max="13825" width="15.75" customWidth="1"/>
    <col min="13826" max="13826" width="22.75" customWidth="1"/>
    <col min="13827" max="13827" width="23.33203125" customWidth="1"/>
    <col min="14081" max="14081" width="15.75" customWidth="1"/>
    <col min="14082" max="14082" width="22.75" customWidth="1"/>
    <col min="14083" max="14083" width="23.33203125" customWidth="1"/>
    <col min="14337" max="14337" width="15.75" customWidth="1"/>
    <col min="14338" max="14338" width="22.75" customWidth="1"/>
    <col min="14339" max="14339" width="23.33203125" customWidth="1"/>
    <col min="14593" max="14593" width="15.75" customWidth="1"/>
    <col min="14594" max="14594" width="22.75" customWidth="1"/>
    <col min="14595" max="14595" width="23.33203125" customWidth="1"/>
    <col min="14849" max="14849" width="15.75" customWidth="1"/>
    <col min="14850" max="14850" width="22.75" customWidth="1"/>
    <col min="14851" max="14851" width="23.33203125" customWidth="1"/>
    <col min="15105" max="15105" width="15.75" customWidth="1"/>
    <col min="15106" max="15106" width="22.75" customWidth="1"/>
    <col min="15107" max="15107" width="23.33203125" customWidth="1"/>
    <col min="15361" max="15361" width="15.75" customWidth="1"/>
    <col min="15362" max="15362" width="22.75" customWidth="1"/>
    <col min="15363" max="15363" width="23.33203125" customWidth="1"/>
    <col min="15617" max="15617" width="15.75" customWidth="1"/>
    <col min="15618" max="15618" width="22.75" customWidth="1"/>
    <col min="15619" max="15619" width="23.33203125" customWidth="1"/>
    <col min="15873" max="15873" width="15.75" customWidth="1"/>
    <col min="15874" max="15874" width="22.75" customWidth="1"/>
    <col min="15875" max="15875" width="23.33203125" customWidth="1"/>
    <col min="16129" max="16129" width="15.75" customWidth="1"/>
    <col min="16130" max="16130" width="22.75" customWidth="1"/>
    <col min="16131" max="16131" width="23.33203125" customWidth="1"/>
  </cols>
  <sheetData>
    <row r="1" spans="1:3" x14ac:dyDescent="0.35">
      <c r="B1" s="50"/>
    </row>
    <row r="2" spans="1:3" x14ac:dyDescent="0.35">
      <c r="A2" s="2" t="s">
        <v>50</v>
      </c>
      <c r="B2" s="50"/>
    </row>
    <row r="3" spans="1:3" x14ac:dyDescent="0.35">
      <c r="B3" s="50"/>
    </row>
    <row r="4" spans="1:3" x14ac:dyDescent="0.35">
      <c r="A4" s="51" t="s">
        <v>51</v>
      </c>
      <c r="B4" s="51" t="s">
        <v>96</v>
      </c>
      <c r="C4" s="51" t="s">
        <v>52</v>
      </c>
    </row>
    <row r="5" spans="1:3" x14ac:dyDescent="0.35">
      <c r="A5" s="51">
        <v>20</v>
      </c>
      <c r="B5" s="52">
        <f>37*A5/100</f>
        <v>7.4</v>
      </c>
      <c r="C5" s="57">
        <f t="shared" ref="C5:C6" si="0">ROUND(B5,0)</f>
        <v>7</v>
      </c>
    </row>
    <row r="6" spans="1:3" x14ac:dyDescent="0.35">
      <c r="A6" s="51">
        <v>18</v>
      </c>
      <c r="B6" s="52">
        <f>37*A6/100</f>
        <v>6.66</v>
      </c>
      <c r="C6" s="57">
        <f t="shared" si="0"/>
        <v>7</v>
      </c>
    </row>
    <row r="7" spans="1:3" x14ac:dyDescent="0.35">
      <c r="A7" s="51">
        <v>16</v>
      </c>
      <c r="B7" s="52">
        <f>37*A7/100</f>
        <v>5.92</v>
      </c>
      <c r="C7" s="57">
        <f>ROUND(B7,0)</f>
        <v>6</v>
      </c>
    </row>
    <row r="8" spans="1:3" x14ac:dyDescent="0.35">
      <c r="A8" s="51">
        <v>14</v>
      </c>
      <c r="B8" s="52">
        <f t="shared" ref="B8:B17" si="1">37*A8/100</f>
        <v>5.18</v>
      </c>
      <c r="C8" s="57">
        <f t="shared" ref="C8:C17" si="2">ROUND(B8,0)</f>
        <v>5</v>
      </c>
    </row>
    <row r="9" spans="1:3" x14ac:dyDescent="0.35">
      <c r="A9" s="51">
        <v>12</v>
      </c>
      <c r="B9" s="52">
        <f t="shared" si="1"/>
        <v>4.4400000000000004</v>
      </c>
      <c r="C9" s="57">
        <f t="shared" si="2"/>
        <v>4</v>
      </c>
    </row>
    <row r="10" spans="1:3" x14ac:dyDescent="0.35">
      <c r="A10" s="51">
        <v>10</v>
      </c>
      <c r="B10" s="52">
        <f t="shared" si="1"/>
        <v>3.7</v>
      </c>
      <c r="C10" s="57">
        <f t="shared" si="2"/>
        <v>4</v>
      </c>
    </row>
    <row r="11" spans="1:3" x14ac:dyDescent="0.35">
      <c r="A11" s="51">
        <v>8</v>
      </c>
      <c r="B11" s="52">
        <f t="shared" si="1"/>
        <v>2.96</v>
      </c>
      <c r="C11" s="57">
        <f t="shared" si="2"/>
        <v>3</v>
      </c>
    </row>
    <row r="12" spans="1:3" x14ac:dyDescent="0.35">
      <c r="A12" s="51">
        <v>6</v>
      </c>
      <c r="B12" s="52">
        <f t="shared" si="1"/>
        <v>2.2200000000000002</v>
      </c>
      <c r="C12" s="57">
        <f t="shared" si="2"/>
        <v>2</v>
      </c>
    </row>
    <row r="13" spans="1:3" x14ac:dyDescent="0.35">
      <c r="A13" s="51">
        <v>4</v>
      </c>
      <c r="B13" s="52">
        <f t="shared" si="1"/>
        <v>1.48</v>
      </c>
      <c r="C13" s="57">
        <f t="shared" si="2"/>
        <v>1</v>
      </c>
    </row>
    <row r="14" spans="1:3" x14ac:dyDescent="0.35">
      <c r="A14" s="51">
        <v>2</v>
      </c>
      <c r="B14" s="52">
        <f t="shared" si="1"/>
        <v>0.74</v>
      </c>
      <c r="C14" s="57">
        <f t="shared" si="2"/>
        <v>1</v>
      </c>
    </row>
    <row r="15" spans="1:3" x14ac:dyDescent="0.35">
      <c r="A15" s="51">
        <v>0</v>
      </c>
      <c r="B15" s="52">
        <f t="shared" si="1"/>
        <v>0</v>
      </c>
      <c r="C15" s="57">
        <f t="shared" si="2"/>
        <v>0</v>
      </c>
    </row>
    <row r="16" spans="1:3" x14ac:dyDescent="0.35">
      <c r="A16" t="s">
        <v>90</v>
      </c>
    </row>
    <row r="17" spans="1:4" x14ac:dyDescent="0.35">
      <c r="A17" s="53">
        <v>0</v>
      </c>
      <c r="B17" s="52">
        <f t="shared" si="1"/>
        <v>0</v>
      </c>
      <c r="C17" s="57">
        <f t="shared" si="2"/>
        <v>0</v>
      </c>
    </row>
    <row r="19" spans="1:4" x14ac:dyDescent="0.35">
      <c r="A19" t="s">
        <v>91</v>
      </c>
    </row>
    <row r="20" spans="1:4" x14ac:dyDescent="0.35">
      <c r="A20" s="53">
        <v>0</v>
      </c>
      <c r="B20" s="52">
        <f>ROUND(A20/52,2)</f>
        <v>0</v>
      </c>
      <c r="C20" s="56">
        <f t="shared" ref="C20" si="3">ROUND(B20,0)</f>
        <v>0</v>
      </c>
    </row>
    <row r="21" spans="1:4" x14ac:dyDescent="0.35">
      <c r="D21" s="44" t="s">
        <v>95</v>
      </c>
    </row>
  </sheetData>
  <sheetProtection algorithmName="SHA-512" hashValue="C7OO5uCWzgC83+6Cm2cf5Ijv0W34q+81k79dXrJy45T+Royr+JmaqG387lC/eAf8xwGfBfdhlVj93/pNek7OkA==" saltValue="9ZVc9P+2/CyZaaH8H85kTg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CBE9-0C98-41AE-80E3-0CA3952627F4}">
  <dimension ref="B5:D22"/>
  <sheetViews>
    <sheetView topLeftCell="A2" workbookViewId="0">
      <selection activeCell="E24" sqref="E24"/>
    </sheetView>
  </sheetViews>
  <sheetFormatPr defaultRowHeight="14.5" x14ac:dyDescent="0.35"/>
  <cols>
    <col min="1" max="1" width="8.6640625" style="62"/>
    <col min="2" max="2" width="34.33203125" style="62" bestFit="1" customWidth="1"/>
    <col min="3" max="3" width="11.4140625" style="62" bestFit="1" customWidth="1"/>
    <col min="4" max="16384" width="8.6640625" style="62"/>
  </cols>
  <sheetData>
    <row r="5" spans="2:4" x14ac:dyDescent="0.35">
      <c r="B5" s="61" t="s">
        <v>97</v>
      </c>
    </row>
    <row r="6" spans="2:4" x14ac:dyDescent="0.35">
      <c r="B6" s="62" t="s">
        <v>98</v>
      </c>
      <c r="C6" s="63"/>
      <c r="D6" s="62">
        <f>C6*1</f>
        <v>0</v>
      </c>
    </row>
    <row r="7" spans="2:4" x14ac:dyDescent="0.35">
      <c r="B7" s="62" t="s">
        <v>99</v>
      </c>
      <c r="C7" s="63"/>
      <c r="D7" s="62">
        <f>C7*12</f>
        <v>0</v>
      </c>
    </row>
    <row r="8" spans="2:4" x14ac:dyDescent="0.35">
      <c r="B8" s="62" t="s">
        <v>100</v>
      </c>
      <c r="C8" s="63"/>
      <c r="D8" s="62">
        <f>C8*52</f>
        <v>0</v>
      </c>
    </row>
    <row r="9" spans="2:4" x14ac:dyDescent="0.35">
      <c r="B9" s="62" t="s">
        <v>101</v>
      </c>
      <c r="D9" s="62">
        <f>SUM(D6:D8)</f>
        <v>0</v>
      </c>
    </row>
    <row r="11" spans="2:4" x14ac:dyDescent="0.35">
      <c r="B11" s="62" t="s">
        <v>102</v>
      </c>
      <c r="C11" s="64"/>
    </row>
    <row r="12" spans="2:4" x14ac:dyDescent="0.35">
      <c r="B12" s="62" t="s">
        <v>103</v>
      </c>
      <c r="C12" s="65">
        <f>C11*D9/12</f>
        <v>0</v>
      </c>
    </row>
    <row r="15" spans="2:4" x14ac:dyDescent="0.35">
      <c r="B15" s="61" t="s">
        <v>104</v>
      </c>
    </row>
    <row r="16" spans="2:4" x14ac:dyDescent="0.35">
      <c r="B16" s="62" t="s">
        <v>105</v>
      </c>
      <c r="C16" s="63"/>
    </row>
    <row r="17" spans="2:3" x14ac:dyDescent="0.35">
      <c r="B17" s="62" t="s">
        <v>106</v>
      </c>
      <c r="C17" s="63"/>
    </row>
    <row r="18" spans="2:3" x14ac:dyDescent="0.35">
      <c r="B18" s="62" t="s">
        <v>101</v>
      </c>
      <c r="C18" s="62">
        <f>C16*C17</f>
        <v>0</v>
      </c>
    </row>
    <row r="21" spans="2:3" x14ac:dyDescent="0.35">
      <c r="B21" s="62" t="s">
        <v>107</v>
      </c>
      <c r="C21" s="63"/>
    </row>
    <row r="22" spans="2:3" x14ac:dyDescent="0.35">
      <c r="B22" s="62" t="s">
        <v>103</v>
      </c>
      <c r="C22" s="65" t="e">
        <f>(C21/C16)*(C18/12)</f>
        <v>#DIV/0!</v>
      </c>
    </row>
  </sheetData>
  <sheetProtection algorithmName="SHA-512" hashValue="md5JPze98vi4VRsl8WZymOf2JbfNPvFNuXXeD6jvx9mdgAxBlEWhamL9izSO2OI64RSLPKHRaWNoq51jQr24Jg==" saltValue="ssml+us7UA8UWjgzdFV/n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Vejledning</vt:lpstr>
      <vt:lpstr>Intervalløn CO10</vt:lpstr>
      <vt:lpstr>Intervalløn OAOs</vt:lpstr>
      <vt:lpstr>DOKS</vt:lpstr>
      <vt:lpstr>KMOK</vt:lpstr>
      <vt:lpstr>Kvote-timer</vt:lpstr>
      <vt:lpstr>Forslag til omregning af måneds</vt:lpstr>
    </vt:vector>
  </TitlesOfParts>
  <Company>Folkekirkens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Lysemose</dc:creator>
  <cp:lastModifiedBy>Kristina Overgaard Bertelsen</cp:lastModifiedBy>
  <cp:lastPrinted>2024-09-19T07:24:58Z</cp:lastPrinted>
  <dcterms:created xsi:type="dcterms:W3CDTF">2024-07-31T11:30:10Z</dcterms:created>
  <dcterms:modified xsi:type="dcterms:W3CDTF">2024-10-23T06:40:26Z</dcterms:modified>
</cp:coreProperties>
</file>